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ti-my.sharepoint.com/personal/n-mathews_tti_tamu_edu/Documents/Documents/SubmittalReTrans/FY 25/5-7049-01/"/>
    </mc:Choice>
  </mc:AlternateContent>
  <xr:revisionPtr revIDLastSave="0" documentId="8_{589194F7-4A70-4AD7-BDD9-33415B5FF2E8}" xr6:coauthVersionLast="47" xr6:coauthVersionMax="47" xr10:uidLastSave="{00000000-0000-0000-0000-000000000000}"/>
  <bookViews>
    <workbookView xWindow="3810" yWindow="3810" windowWidth="21600" windowHeight="11235" xr2:uid="{00000000-000D-0000-FFFF-FFFF00000000}"/>
  </bookViews>
  <sheets>
    <sheet name="Instructions" sheetId="6" r:id="rId1"/>
    <sheet name="SLSG Identification" sheetId="4" r:id="rId2"/>
    <sheet name="Limited access" sheetId="7" r:id="rId3"/>
    <sheet name="Developed" sheetId="8" r:id="rId4"/>
    <sheet name="Undeveloped" sheetId="9" r:id="rId5"/>
    <sheet name="Full access" sheetId="10" r:id="rId6"/>
    <sheet name="Support Tables" sheetId="5" r:id="rId7"/>
    <sheet name="Default Values" sheetId="12" r:id="rId8"/>
  </sheets>
  <externalReferences>
    <externalReference r:id="rId9"/>
  </externalReferences>
  <definedNames>
    <definedName name="Cycle_Factor" localSheetId="0">[1]Analysis!#REF!</definedName>
    <definedName name="_xlnm.Print_Area" localSheetId="3">Developed!$A$1:$G$48</definedName>
    <definedName name="_xlnm.Print_Area" localSheetId="5">'Full access'!$A$1:$G$46</definedName>
    <definedName name="_xlnm.Print_Area" localSheetId="0">Instructions!$A$1:$N$77</definedName>
    <definedName name="_xlnm.Print_Area" localSheetId="2">'Limited access'!$A$1:$G$46</definedName>
    <definedName name="_xlnm.Print_Area" localSheetId="1">'SLSG Identification'!$A$1:$G$10</definedName>
    <definedName name="_xlnm.Print_Area" localSheetId="4">Undeveloped!$A$1:$G$43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6" i="10" l="1"/>
  <c r="X33" i="9"/>
  <c r="X36" i="7"/>
  <c r="Y25" i="8"/>
  <c r="Y42" i="8" s="1" a="1"/>
  <c r="Y42" i="8" s="1"/>
  <c r="Y24" i="10"/>
  <c r="Y40" i="10" s="1" a="1"/>
  <c r="Y40" i="10" s="1"/>
  <c r="L30" i="5"/>
  <c r="G30" i="5"/>
  <c r="G29" i="5"/>
  <c r="M15" i="5"/>
  <c r="I15" i="5"/>
  <c r="I14" i="5"/>
  <c r="N5" i="5"/>
  <c r="K5" i="5"/>
  <c r="K4" i="5"/>
  <c r="E30" i="7"/>
  <c r="AC30" i="7"/>
  <c r="E29" i="7" l="1"/>
  <c r="Y27" i="10" l="1"/>
  <c r="AA27" i="10" s="1"/>
  <c r="Y28" i="8"/>
  <c r="AC28" i="8" s="1"/>
  <c r="E11" i="7" l="1"/>
  <c r="X36" i="9" l="1"/>
  <c r="X39" i="10"/>
  <c r="X41" i="8"/>
  <c r="X39" i="7" l="1"/>
  <c r="AC13" i="10" l="1"/>
  <c r="AB13" i="10"/>
  <c r="AA13" i="9"/>
  <c r="AA13" i="8"/>
  <c r="AA14" i="7"/>
  <c r="E20" i="7"/>
  <c r="E32" i="7"/>
  <c r="E31" i="7"/>
  <c r="E28" i="7"/>
  <c r="E27" i="7"/>
  <c r="E25" i="7"/>
  <c r="E19" i="8"/>
  <c r="E19" i="9"/>
  <c r="E24" i="9"/>
  <c r="E26" i="10"/>
  <c r="E25" i="10"/>
  <c r="E32" i="10"/>
  <c r="E31" i="10"/>
  <c r="E30" i="10"/>
  <c r="E28" i="10"/>
  <c r="E27" i="10"/>
  <c r="E24" i="10"/>
  <c r="E29" i="9"/>
  <c r="E28" i="9"/>
  <c r="E27" i="9"/>
  <c r="E26" i="9"/>
  <c r="E34" i="8"/>
  <c r="E33" i="8"/>
  <c r="E32" i="8"/>
  <c r="E31" i="8"/>
  <c r="E29" i="8"/>
  <c r="E28" i="8"/>
  <c r="E27" i="8"/>
  <c r="E26" i="8"/>
  <c r="E25" i="8"/>
  <c r="U15" i="10"/>
  <c r="T15" i="10"/>
  <c r="U15" i="9"/>
  <c r="T15" i="9"/>
  <c r="U15" i="8"/>
  <c r="T15" i="8"/>
  <c r="U16" i="7"/>
  <c r="T16" i="7"/>
  <c r="E45" i="10"/>
  <c r="E44" i="10"/>
  <c r="E43" i="10"/>
  <c r="E42" i="10"/>
  <c r="E41" i="10"/>
  <c r="E40" i="10"/>
  <c r="Y37" i="10"/>
  <c r="Y36" i="10"/>
  <c r="Y33" i="10"/>
  <c r="E33" i="10"/>
  <c r="Y32" i="10"/>
  <c r="AA32" i="10" s="1"/>
  <c r="Y31" i="10"/>
  <c r="AA31" i="10" s="1"/>
  <c r="Y30" i="10"/>
  <c r="Y29" i="10"/>
  <c r="Y28" i="10"/>
  <c r="E29" i="10" s="1"/>
  <c r="E23" i="10"/>
  <c r="Y22" i="10"/>
  <c r="Z25" i="10" s="1"/>
  <c r="E22" i="10"/>
  <c r="E19" i="10"/>
  <c r="U18" i="10"/>
  <c r="T18" i="10"/>
  <c r="E18" i="10"/>
  <c r="E11" i="10"/>
  <c r="E10" i="10"/>
  <c r="E9" i="10"/>
  <c r="E8" i="10"/>
  <c r="E7" i="10"/>
  <c r="AA15" i="10"/>
  <c r="E6" i="10"/>
  <c r="AB15" i="10"/>
  <c r="Y5" i="10"/>
  <c r="E5" i="10"/>
  <c r="E42" i="9"/>
  <c r="E41" i="9"/>
  <c r="E40" i="9"/>
  <c r="E39" i="9"/>
  <c r="E38" i="9"/>
  <c r="E37" i="9"/>
  <c r="Y34" i="9"/>
  <c r="Y33" i="9"/>
  <c r="Y30" i="9"/>
  <c r="E30" i="9"/>
  <c r="AC29" i="9"/>
  <c r="AB29" i="9"/>
  <c r="AC28" i="9"/>
  <c r="AB28" i="9"/>
  <c r="Y26" i="9"/>
  <c r="E25" i="9"/>
  <c r="Y23" i="9"/>
  <c r="E23" i="9"/>
  <c r="E20" i="9"/>
  <c r="U18" i="9"/>
  <c r="T18" i="9"/>
  <c r="E18" i="9"/>
  <c r="E11" i="9"/>
  <c r="E10" i="9"/>
  <c r="E9" i="9"/>
  <c r="E8" i="9"/>
  <c r="E7" i="9"/>
  <c r="AA15" i="9"/>
  <c r="E6" i="9"/>
  <c r="AB15" i="9"/>
  <c r="Y5" i="9"/>
  <c r="E5" i="9"/>
  <c r="AC15" i="9"/>
  <c r="AD15" i="9"/>
  <c r="E47" i="8"/>
  <c r="E46" i="8"/>
  <c r="E45" i="8"/>
  <c r="E44" i="8"/>
  <c r="E43" i="8"/>
  <c r="E42" i="8"/>
  <c r="Y39" i="8"/>
  <c r="Y38" i="8"/>
  <c r="Y35" i="8"/>
  <c r="E35" i="8"/>
  <c r="Y34" i="8"/>
  <c r="AB34" i="8" s="1"/>
  <c r="Y33" i="8"/>
  <c r="AC33" i="8" s="1"/>
  <c r="Y32" i="8"/>
  <c r="AB32" i="8" s="1"/>
  <c r="Y31" i="8"/>
  <c r="Y30" i="8"/>
  <c r="Y29" i="8"/>
  <c r="E30" i="8" s="1"/>
  <c r="AB28" i="8"/>
  <c r="AC25" i="8"/>
  <c r="E24" i="8"/>
  <c r="Y23" i="8"/>
  <c r="E23" i="8"/>
  <c r="E20" i="8"/>
  <c r="U18" i="8"/>
  <c r="T18" i="8"/>
  <c r="E18" i="8"/>
  <c r="E11" i="8"/>
  <c r="E10" i="8"/>
  <c r="E9" i="8"/>
  <c r="E8" i="8"/>
  <c r="E7" i="8"/>
  <c r="AA15" i="8"/>
  <c r="E6" i="8"/>
  <c r="AB15" i="8"/>
  <c r="Y5" i="8"/>
  <c r="X38" i="8" s="1"/>
  <c r="E5" i="8"/>
  <c r="AC15" i="8"/>
  <c r="AD15" i="8"/>
  <c r="E45" i="7"/>
  <c r="E44" i="7"/>
  <c r="E43" i="7"/>
  <c r="E42" i="7"/>
  <c r="E41" i="7"/>
  <c r="E40" i="7"/>
  <c r="Y37" i="7"/>
  <c r="Y36" i="7"/>
  <c r="Y33" i="7"/>
  <c r="E33" i="7"/>
  <c r="AC32" i="7"/>
  <c r="AC31" i="7"/>
  <c r="Z28" i="7"/>
  <c r="Y28" i="7" s="1"/>
  <c r="T28" i="7" s="1"/>
  <c r="E26" i="7"/>
  <c r="Y24" i="7"/>
  <c r="E24" i="7"/>
  <c r="E21" i="7"/>
  <c r="U19" i="7"/>
  <c r="T19" i="7"/>
  <c r="E19" i="7"/>
  <c r="E12" i="7"/>
  <c r="E10" i="7"/>
  <c r="E9" i="7"/>
  <c r="E8" i="7"/>
  <c r="AA16" i="7"/>
  <c r="E7" i="7"/>
  <c r="AB16" i="7"/>
  <c r="Y6" i="7"/>
  <c r="E6" i="7"/>
  <c r="AC16" i="7"/>
  <c r="AD16" i="7"/>
  <c r="X5" i="7"/>
  <c r="W5" i="7"/>
  <c r="V5" i="7"/>
  <c r="U5" i="7"/>
  <c r="T5" i="7"/>
  <c r="E5" i="7"/>
  <c r="Z42" i="8" l="1"/>
  <c r="Z43" i="8"/>
  <c r="T37" i="9"/>
  <c r="AC27" i="9"/>
  <c r="AB27" i="9"/>
  <c r="Z40" i="10"/>
  <c r="Z41" i="10"/>
  <c r="E33" i="9"/>
  <c r="E36" i="9"/>
  <c r="E35" i="9"/>
  <c r="E34" i="9"/>
  <c r="E39" i="10"/>
  <c r="E38" i="10"/>
  <c r="E37" i="10"/>
  <c r="E36" i="10"/>
  <c r="E39" i="7"/>
  <c r="E38" i="7"/>
  <c r="E37" i="7"/>
  <c r="E36" i="7"/>
  <c r="Z36" i="7" s="1"/>
  <c r="E41" i="8"/>
  <c r="E40" i="8"/>
  <c r="E39" i="8"/>
  <c r="E38" i="8"/>
  <c r="Z38" i="8" s="1"/>
  <c r="Z36" i="10"/>
  <c r="F40" i="10" s="1"/>
  <c r="Y5" i="7"/>
  <c r="Z5" i="7" s="1"/>
  <c r="Z40" i="7" s="1"/>
  <c r="AC28" i="7"/>
  <c r="Z38" i="9"/>
  <c r="Z37" i="9"/>
  <c r="Z37" i="10"/>
  <c r="Z38" i="10" s="1"/>
  <c r="AC26" i="9"/>
  <c r="Z37" i="7"/>
  <c r="Z38" i="7" s="1"/>
  <c r="AA30" i="10"/>
  <c r="Z34" i="9"/>
  <c r="Z35" i="9" s="1"/>
  <c r="AB31" i="8"/>
  <c r="AC34" i="8"/>
  <c r="Z39" i="8"/>
  <c r="AC31" i="8"/>
  <c r="AB28" i="7"/>
  <c r="T25" i="10"/>
  <c r="AA25" i="10"/>
  <c r="X25" i="10" s="1"/>
  <c r="Z26" i="10"/>
  <c r="Z27" i="9"/>
  <c r="Z33" i="9"/>
  <c r="F37" i="9" s="1"/>
  <c r="Z27" i="8"/>
  <c r="Z26" i="8"/>
  <c r="D45" i="10" l="1"/>
  <c r="D44" i="10"/>
  <c r="AA44" i="10" s="1"/>
  <c r="D43" i="10"/>
  <c r="D42" i="10"/>
  <c r="F41" i="10"/>
  <c r="D40" i="9"/>
  <c r="D42" i="9"/>
  <c r="D41" i="9"/>
  <c r="AC39" i="9" s="1"/>
  <c r="D39" i="9"/>
  <c r="F38" i="9"/>
  <c r="F43" i="8"/>
  <c r="D46" i="8"/>
  <c r="D45" i="8"/>
  <c r="D44" i="8"/>
  <c r="F42" i="8"/>
  <c r="F41" i="7"/>
  <c r="D44" i="7"/>
  <c r="AC42" i="7" s="1"/>
  <c r="D45" i="7"/>
  <c r="D43" i="7"/>
  <c r="D42" i="7"/>
  <c r="F40" i="7"/>
  <c r="F38" i="10"/>
  <c r="Z41" i="7"/>
  <c r="F35" i="9"/>
  <c r="F38" i="7"/>
  <c r="X28" i="7"/>
  <c r="U25" i="10"/>
  <c r="Z39" i="10"/>
  <c r="F39" i="10" s="1"/>
  <c r="AD13" i="9"/>
  <c r="Z40" i="8"/>
  <c r="F40" i="8" s="1"/>
  <c r="Z39" i="7"/>
  <c r="F39" i="7" s="1"/>
  <c r="U28" i="7"/>
  <c r="AD14" i="7"/>
  <c r="Z36" i="9"/>
  <c r="F36" i="9" s="1"/>
  <c r="Z41" i="8"/>
  <c r="F41" i="8" s="1"/>
  <c r="AA26" i="10"/>
  <c r="T26" i="10"/>
  <c r="AB27" i="8"/>
  <c r="AC27" i="8"/>
  <c r="T27" i="8"/>
  <c r="AC26" i="8"/>
  <c r="AB26" i="8"/>
  <c r="T26" i="8"/>
  <c r="Z16" i="7"/>
  <c r="F26" i="7" s="1"/>
  <c r="D47" i="8" l="1"/>
  <c r="AB47" i="8" s="1"/>
  <c r="X26" i="8"/>
  <c r="U26" i="10"/>
  <c r="X26" i="10"/>
  <c r="F37" i="7"/>
  <c r="F42" i="7"/>
  <c r="X27" i="8"/>
  <c r="F36" i="7"/>
  <c r="F21" i="7"/>
  <c r="F20" i="7"/>
  <c r="AB41" i="9"/>
  <c r="AA42" i="10"/>
  <c r="AD13" i="10"/>
  <c r="AA45" i="10"/>
  <c r="AA43" i="10"/>
  <c r="AC40" i="9"/>
  <c r="AC13" i="9" s="1"/>
  <c r="AB42" i="9"/>
  <c r="AC44" i="8"/>
  <c r="AD13" i="8"/>
  <c r="AB46" i="8"/>
  <c r="AB44" i="7"/>
  <c r="F44" i="7" s="1"/>
  <c r="Z15" i="8"/>
  <c r="Z15" i="10"/>
  <c r="Z15" i="9"/>
  <c r="F25" i="9" s="1"/>
  <c r="U26" i="8"/>
  <c r="U27" i="8"/>
  <c r="F31" i="7"/>
  <c r="F33" i="7"/>
  <c r="F19" i="7"/>
  <c r="F30" i="7"/>
  <c r="F28" i="7"/>
  <c r="F32" i="7"/>
  <c r="F42" i="10" l="1"/>
  <c r="F27" i="10"/>
  <c r="F23" i="10"/>
  <c r="AC45" i="8"/>
  <c r="AC13" i="8" s="1"/>
  <c r="F28" i="8"/>
  <c r="F24" i="8"/>
  <c r="F40" i="9"/>
  <c r="F39" i="9"/>
  <c r="F42" i="9"/>
  <c r="F41" i="9"/>
  <c r="F45" i="10"/>
  <c r="F44" i="10"/>
  <c r="F43" i="10"/>
  <c r="F44" i="8"/>
  <c r="F47" i="8"/>
  <c r="F46" i="8"/>
  <c r="F34" i="9"/>
  <c r="F39" i="8"/>
  <c r="F36" i="10"/>
  <c r="F37" i="10"/>
  <c r="F30" i="8"/>
  <c r="F38" i="8"/>
  <c r="F26" i="9"/>
  <c r="F33" i="9"/>
  <c r="F29" i="10"/>
  <c r="AA13" i="10"/>
  <c r="AB13" i="9"/>
  <c r="AB13" i="8"/>
  <c r="AC43" i="7"/>
  <c r="F43" i="7" s="1"/>
  <c r="AB45" i="7"/>
  <c r="F45" i="7" s="1"/>
  <c r="F35" i="8"/>
  <c r="F31" i="8"/>
  <c r="F20" i="8"/>
  <c r="F18" i="8"/>
  <c r="F33" i="8"/>
  <c r="F34" i="8"/>
  <c r="F19" i="8"/>
  <c r="F25" i="8"/>
  <c r="F32" i="8"/>
  <c r="F26" i="8"/>
  <c r="F27" i="8"/>
  <c r="F33" i="10"/>
  <c r="F31" i="10"/>
  <c r="F18" i="10"/>
  <c r="F25" i="10"/>
  <c r="F26" i="10"/>
  <c r="F32" i="10"/>
  <c r="F30" i="10"/>
  <c r="F29" i="9"/>
  <c r="F27" i="9"/>
  <c r="F30" i="9"/>
  <c r="F18" i="9"/>
  <c r="F20" i="9"/>
  <c r="F28" i="9"/>
  <c r="F19" i="9"/>
  <c r="D9" i="4"/>
  <c r="F45" i="8" l="1"/>
  <c r="V15" i="8"/>
  <c r="X15" i="8" s="1"/>
  <c r="AB14" i="7"/>
  <c r="V15" i="10"/>
  <c r="X15" i="10" s="1"/>
  <c r="V15" i="9"/>
  <c r="X15" i="9" s="1"/>
  <c r="AC14" i="7"/>
  <c r="E24" i="5"/>
  <c r="E23" i="5"/>
  <c r="E22" i="5"/>
  <c r="E21" i="5"/>
  <c r="F15" i="8" l="1"/>
  <c r="D15" i="8"/>
  <c r="Z23" i="8" s="1"/>
  <c r="F23" i="8" s="1"/>
  <c r="V16" i="7"/>
  <c r="X16" i="7" s="1"/>
  <c r="F15" i="10"/>
  <c r="F16" i="7" l="1"/>
  <c r="D16" i="7"/>
  <c r="Z24" i="7" s="1"/>
  <c r="F24" i="7" s="1"/>
  <c r="D15" i="10"/>
  <c r="Z22" i="10" s="1"/>
  <c r="F22" i="10" s="1"/>
  <c r="D15" i="9" l="1"/>
  <c r="Z23" i="9" s="1"/>
  <c r="F23" i="9" s="1"/>
  <c r="F15" i="9"/>
  <c r="E6" i="4" l="1"/>
  <c r="E5" i="4"/>
  <c r="Z9" i="4" s="1"/>
  <c r="F9" i="4" l="1"/>
  <c r="X9" i="4"/>
  <c r="T6" i="4" a="1"/>
  <c r="T6" i="4" s="1"/>
  <c r="X5" i="4"/>
  <c r="W5" i="4"/>
  <c r="V5" i="4"/>
  <c r="U5" i="4"/>
  <c r="T5" i="4"/>
  <c r="W6" i="4" l="1"/>
  <c r="U6" i="4"/>
  <c r="X6" i="4"/>
  <c r="V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<sst xmlns="http://schemas.openxmlformats.org/spreadsheetml/2006/main" count="704" uniqueCount="216">
  <si>
    <t>High</t>
  </si>
  <si>
    <t>85th-percentile speed (mph)</t>
  </si>
  <si>
    <t>Yes</t>
  </si>
  <si>
    <t>50th-percentile speed (mph)</t>
  </si>
  <si>
    <t>No</t>
  </si>
  <si>
    <t>Not high</t>
  </si>
  <si>
    <t>Developed</t>
  </si>
  <si>
    <t>Undeveloped</t>
  </si>
  <si>
    <t>Number of interchanges</t>
  </si>
  <si>
    <t>Lane width (ft)</t>
  </si>
  <si>
    <t>Shoulder width (ft)</t>
  </si>
  <si>
    <t>Number of years of crash data</t>
  </si>
  <si>
    <t>Speed limit (mph)</t>
  </si>
  <si>
    <t>Length (mi)</t>
  </si>
  <si>
    <t>Description</t>
  </si>
  <si>
    <t>Suggested speed limit (mph)</t>
  </si>
  <si>
    <t>Speed Data</t>
  </si>
  <si>
    <t>Crash Data</t>
  </si>
  <si>
    <t>Median type</t>
  </si>
  <si>
    <t>Number of traffic signals</t>
  </si>
  <si>
    <t>On-street parking activity</t>
  </si>
  <si>
    <t>Some</t>
  </si>
  <si>
    <t>Negligible</t>
  </si>
  <si>
    <t>Yes, ≥ 40% of segment length</t>
  </si>
  <si>
    <t>Yes, &lt; 40% of segment length</t>
  </si>
  <si>
    <t>TWLTL</t>
  </si>
  <si>
    <t>Present</t>
  </si>
  <si>
    <t>Not present</t>
  </si>
  <si>
    <t>Site Description Data</t>
  </si>
  <si>
    <t>Date</t>
  </si>
  <si>
    <t>Notes</t>
  </si>
  <si>
    <t>Design speed (mph)</t>
  </si>
  <si>
    <t>Grade (%)</t>
  </si>
  <si>
    <t>Outside shoulder width (ft)</t>
  </si>
  <si>
    <t>Inside shoulder width (ft)</t>
  </si>
  <si>
    <t>Index</t>
  </si>
  <si>
    <t>C50</t>
  </si>
  <si>
    <t>RD85</t>
  </si>
  <si>
    <t>C85</t>
  </si>
  <si>
    <t>Calc</t>
  </si>
  <si>
    <t>NCHRP 17-76 Speed Limit Setting Tool</t>
  </si>
  <si>
    <t>Roadway name</t>
  </si>
  <si>
    <t>Undivided</t>
  </si>
  <si>
    <t>Average AADT for crash data period (veh/d)</t>
  </si>
  <si>
    <t>Site Characteristics</t>
  </si>
  <si>
    <t>Urban</t>
  </si>
  <si>
    <t>Rural</t>
  </si>
  <si>
    <t>MD</t>
  </si>
  <si>
    <t>MU</t>
  </si>
  <si>
    <t>Current speed limit (mph)</t>
  </si>
  <si>
    <t>Roadway type</t>
  </si>
  <si>
    <t>Roadway context</t>
  </si>
  <si>
    <t>Rural town</t>
  </si>
  <si>
    <t>Suburban</t>
  </si>
  <si>
    <t>Urban core</t>
  </si>
  <si>
    <t>Collector</t>
  </si>
  <si>
    <t>Local</t>
  </si>
  <si>
    <t>Type/Context</t>
  </si>
  <si>
    <t>Principal arterial</t>
  </si>
  <si>
    <t>Minor arterial</t>
  </si>
  <si>
    <t>Sidewalk buffer</t>
  </si>
  <si>
    <t>Narrow</t>
  </si>
  <si>
    <t>Adequate</t>
  </si>
  <si>
    <t>Wide</t>
  </si>
  <si>
    <t>Sidewalk presence / width</t>
  </si>
  <si>
    <t>Code</t>
  </si>
  <si>
    <t>Freeway</t>
  </si>
  <si>
    <t>Are crash data available?</t>
  </si>
  <si>
    <t>Color-Coding Legend</t>
  </si>
  <si>
    <t>Parallel parking permitted?</t>
  </si>
  <si>
    <t>Angle parking present?</t>
  </si>
  <si>
    <t>Adverse alignment present?</t>
  </si>
  <si>
    <t>Aqua = basic input cell</t>
  </si>
  <si>
    <t>Denim = basic input cell with drop-down menu</t>
  </si>
  <si>
    <t>Analysis Results</t>
  </si>
  <si>
    <t>Purple = final analysis results</t>
  </si>
  <si>
    <t>RD50</t>
  </si>
  <si>
    <t>FOREWORD</t>
  </si>
  <si>
    <t>INSTRUCTIONS</t>
  </si>
  <si>
    <t>DISCLAIMER</t>
  </si>
  <si>
    <t>Orange = optional input cell (not needed for calculations)</t>
  </si>
  <si>
    <t>Maximum speed limit (mph)</t>
  </si>
  <si>
    <t>Fatal &amp; injury (KABC) crashes for crash data period</t>
  </si>
  <si>
    <t>Average KABC crash rate (crashes / 100 MVMT)</t>
  </si>
  <si>
    <t>Critical KABC crash rate (crashes / 100 MVMT)</t>
  </si>
  <si>
    <t>Average KABCO crash rate (crashes / 100 MVMT)</t>
  </si>
  <si>
    <t>Critical KABCO crash rate (crashes / 100 MVMT)</t>
  </si>
  <si>
    <t>Segment length (mi)</t>
  </si>
  <si>
    <t>All (KABCO) crashes for crash data period</t>
  </si>
  <si>
    <t>questions about the modeling approach, assumptions, or limitations.</t>
  </si>
  <si>
    <t>or she will have an understanding of how best to use the spreadsheet and interpret its output.</t>
  </si>
  <si>
    <t xml:space="preserve">This spreadsheet is copyrighted.  All rights are reserved.  This product may not, in whole or in part, be copied, photocopied, </t>
  </si>
  <si>
    <t>reproduced, translated, or reduced to any electronic medium or machine-readable form without prior consent, in writing, from</t>
  </si>
  <si>
    <t>Developed by:  NCHRP 17-76 Research Team</t>
  </si>
  <si>
    <t>(with Michael P. Pratt leading the spreadsheet development and Kay Fitzpatrick as Principal Investigator)</t>
  </si>
  <si>
    <t>This spreadsheet can be used to compute a suggested posted speed limit on roadway segments as a function of site</t>
  </si>
  <si>
    <t>characteristics, traffic speed data, and crash data.</t>
  </si>
  <si>
    <t>such revision.</t>
  </si>
  <si>
    <t>Divided</t>
  </si>
  <si>
    <t>Lower</t>
  </si>
  <si>
    <t>Upper</t>
  </si>
  <si>
    <t>OW</t>
  </si>
  <si>
    <t>Number of lanes (two-way total)</t>
  </si>
  <si>
    <t>the National Academies of Sciences, Engineering, and Medicine.  This product is subject to change without notice and does not</t>
  </si>
  <si>
    <t>represent a commitment on the part of the National Academies of Sciences, Engineering, and Medicine to notify any person of</t>
  </si>
  <si>
    <t>Minimum Segment Lengths by Speed Limit</t>
  </si>
  <si>
    <t>These tables contain yellow cells to indicate that the values can be altered, but should be altered only based on agency policy</t>
  </si>
  <si>
    <t>or statistical analysis of field data.</t>
  </si>
  <si>
    <t>Group</t>
  </si>
  <si>
    <t>The yellow cells in this worksheet should be altered with caution and justification, only under the following circumstances:</t>
  </si>
  <si>
    <t>Important Notice</t>
  </si>
  <si>
    <t xml:space="preserve">  •  The default value in the cell needs to be changed to conform to agency policy (i.e., for all sites, not just the site of interest).</t>
  </si>
  <si>
    <t xml:space="preserve">  •  A statistical analysis has been conducted to produce a value that more accurately describes sites in the jurisdiction of interest.</t>
  </si>
  <si>
    <t xml:space="preserve">  •  An updated value for the quantity of interest is available in a published, authoritative document.</t>
  </si>
  <si>
    <t xml:space="preserve">  •  Minimum Segment Lengths by Speed Limit</t>
  </si>
  <si>
    <t>Pedestrian activity</t>
  </si>
  <si>
    <t xml:space="preserve">  •  Speed Limit Setting Groups</t>
  </si>
  <si>
    <t>Speed limit setting group</t>
  </si>
  <si>
    <t>Speed Limit Setting Groups</t>
  </si>
  <si>
    <t xml:space="preserve">  •  Upper and Lower Speed Limits by Group</t>
  </si>
  <si>
    <t>Support Tables Worksheet</t>
  </si>
  <si>
    <t>Number of access points (total of both directions)</t>
  </si>
  <si>
    <t>Upper and Lower Speed Limits by Group (mph)</t>
  </si>
  <si>
    <t>Lists and limits</t>
  </si>
  <si>
    <t>Intermediate Calculations — These cells are protected and should not be altered.</t>
  </si>
  <si>
    <t>This spreadsheet is intended for use with the report identified below.  The user is encouraged to read the document so that he</t>
  </si>
  <si>
    <t>The equations used in this spreadsheet are documented in this report.  Users should refer to the report whenever they have</t>
  </si>
  <si>
    <t>AADT (two-way total) (veh/d)</t>
  </si>
  <si>
    <t>Directional design-hour truck volume (trk/hr)</t>
  </si>
  <si>
    <t>AADTmin (veh/d)</t>
  </si>
  <si>
    <t>1.3 x average KABCO crash rate (crashes / 100 MVMT)</t>
  </si>
  <si>
    <t>1.3 x average KABC crash rate (crashes / 100 MVMT)</t>
  </si>
  <si>
    <t>W</t>
  </si>
  <si>
    <t>X</t>
  </si>
  <si>
    <t>A</t>
  </si>
  <si>
    <t>Msg type</t>
  </si>
  <si>
    <t>C</t>
  </si>
  <si>
    <t>Analysis Worksheets</t>
  </si>
  <si>
    <t>These worksheets are used to enter input data and obtain analysis results.  Key cells on these worksheets are color-coded</t>
  </si>
  <si>
    <t xml:space="preserve">to indicate the type of data entered or displayed.  A color-coding legend is provided on each worksheet.  Some cells on these </t>
  </si>
  <si>
    <t>This worksheet contains the following tables that are used in the analysis calculations:</t>
  </si>
  <si>
    <t xml:space="preserve">  •  The Welcome worksheet (this one) provides an overview.</t>
  </si>
  <si>
    <t xml:space="preserve">  •  The Support Tables worksheet contains data tables that are used in the calculations.</t>
  </si>
  <si>
    <t xml:space="preserve">  ◦  Developed</t>
  </si>
  <si>
    <t xml:space="preserve">  ◦  Undeveloped</t>
  </si>
  <si>
    <r>
      <t xml:space="preserve">  •  The four </t>
    </r>
    <r>
      <rPr>
        <u/>
        <sz val="10"/>
        <rFont val="Arial"/>
        <family val="2"/>
      </rPr>
      <t>analysis worksheets</t>
    </r>
    <r>
      <rPr>
        <sz val="10"/>
        <rFont val="Arial"/>
        <family val="2"/>
      </rPr>
      <t xml:space="preserve"> are used to calculate a suggested speed limit for a roadway segment of interest, </t>
    </r>
  </si>
  <si>
    <t xml:space="preserve">     roadway segment of interest based on its context and type.</t>
  </si>
  <si>
    <t xml:space="preserve">     depending on its SLSG.  These worksheets are named:</t>
  </si>
  <si>
    <t>User name</t>
  </si>
  <si>
    <t>worksheets contain intermediate calculations or results.  These cells are locked and cannot be changed.  When a fresh copy</t>
  </si>
  <si>
    <t>spreadsheet file and save it.</t>
  </si>
  <si>
    <t>Default Values for Developed Segments</t>
  </si>
  <si>
    <t>Default Values for Undeveloped Segments</t>
  </si>
  <si>
    <t>Default Values for Full-access Segments</t>
  </si>
  <si>
    <t>This spreadsheet consists of the following eight worksheets:</t>
  </si>
  <si>
    <t xml:space="preserve">  •  The Default Values worksheet contains default data entry cell values.</t>
  </si>
  <si>
    <t>Default Values Worksheet</t>
  </si>
  <si>
    <t xml:space="preserve">This worksheet contains default data entry cell values.  If the user enters these values into the analysis worksheets, the analysis </t>
  </si>
  <si>
    <t>Default Values for Limited-access Segments (urban roadway context)</t>
  </si>
  <si>
    <t>Default Values for Limited-access Segments (rural roadway context)</t>
  </si>
  <si>
    <t xml:space="preserve">  •  Site characteristics: limiting values that will allow the speed limit to be based on</t>
  </si>
  <si>
    <t xml:space="preserve">  •  Crash counts: computed as the HSIS rates divided by three for limited-access,</t>
  </si>
  <si>
    <t xml:space="preserve">      the closest 85th-percentile speed for limited-access, developed, or undeveloped</t>
  </si>
  <si>
    <t xml:space="preserve">  •  Maximum speed limit: maximum value allowed for the SLSG.</t>
  </si>
  <si>
    <t xml:space="preserve">  •  85th-percentile speed: maximum speed limit - 2 mph.</t>
  </si>
  <si>
    <t xml:space="preserve">  •  50th-percentile speed: maximum speed limit - 5 mph.</t>
  </si>
  <si>
    <t xml:space="preserve">  •  Segment length: minimum value allowed for the maximum speed limit.</t>
  </si>
  <si>
    <t xml:space="preserve">  •  AADTs: reasonable mid-range values for the SLSG.</t>
  </si>
  <si>
    <t xml:space="preserve">      segments, or the closest 50th-percentile speed for full-access segments.</t>
  </si>
  <si>
    <t xml:space="preserve">      developed or undeveloped segments, or divided by eight for full-access segments.</t>
  </si>
  <si>
    <t>SLSG Identification Worksheet</t>
  </si>
  <si>
    <t>Gray = unneeded input cell based on other input data (e.g., Crash Data section is gray when B5 = no)</t>
  </si>
  <si>
    <t>Gray = unneeded input cell based on other input data (e.g., Crash Data section is gray when B6 = no)</t>
  </si>
  <si>
    <t>Rose = intermediate calculations</t>
  </si>
  <si>
    <t>Green = optional input cell (use if data for agency &amp; region are available, leave blank otherwise)</t>
  </si>
  <si>
    <t>Default values were developed by the Research Team based on the following principles:</t>
  </si>
  <si>
    <t>The values are informational and are provided as advice for the rare cases where the user</t>
  </si>
  <si>
    <t>is not able to obtain a value for the segment of interest.</t>
  </si>
  <si>
    <t>Bicyclist activity / bike lane type</t>
  </si>
  <si>
    <t>Denim = basic input cell with drop-down menu (menus are in Analysis worksheets only)</t>
  </si>
  <si>
    <t>Input Cells</t>
  </si>
  <si>
    <t>Output Cells</t>
  </si>
  <si>
    <t>High / Separated</t>
  </si>
  <si>
    <t>Not high / Any type</t>
  </si>
  <si>
    <t>High / Not separated</t>
  </si>
  <si>
    <r>
      <t xml:space="preserve">  •  The SLSG Identification worksheet is used to determine the </t>
    </r>
    <r>
      <rPr>
        <u/>
        <sz val="10"/>
        <rFont val="Arial"/>
        <family val="2"/>
      </rPr>
      <t>speed limit setting group (SLSG)</t>
    </r>
    <r>
      <rPr>
        <sz val="10"/>
        <rFont val="Arial"/>
        <family val="2"/>
      </rPr>
      <t xml:space="preserve"> for a </t>
    </r>
  </si>
  <si>
    <t>The user should start with this worksheet.  Specify the roadway context and roadway type to determine the speed limit setting</t>
  </si>
  <si>
    <t>if the user already knows the speed limit setting group for the segment.</t>
  </si>
  <si>
    <t>group for the roadway segment of interest, and then go to the appropriate Analysis worksheet.  This worksheet may be skipped</t>
  </si>
  <si>
    <t xml:space="preserve">to alter these values to describe the roadway segment of interest.  To archive the analysis results, the user should rename the </t>
  </si>
  <si>
    <t>of this spreadsheet is opened, the analysis worksheets' data entry cells are populated with default values.  The user will need</t>
  </si>
  <si>
    <t>No warranty is made by the developers or their employer as to the accuracy, completeness, or reliability of this spreadsheet</t>
  </si>
  <si>
    <t>damages resulting from the use of this spreadsheet.</t>
  </si>
  <si>
    <t>and its associated equations and documentation.  No responsibility is assumed by the developers for incorrect results or</t>
  </si>
  <si>
    <r>
      <t xml:space="preserve">  </t>
    </r>
    <r>
      <rPr>
        <b/>
        <sz val="10"/>
        <rFont val="Arial"/>
        <family val="2"/>
      </rPr>
      <t>◦</t>
    </r>
    <r>
      <rPr>
        <sz val="10"/>
        <rFont val="Arial"/>
        <family val="2"/>
      </rPr>
      <t xml:space="preserve">  Limited access</t>
    </r>
  </si>
  <si>
    <t xml:space="preserve">  ◦  Full access</t>
  </si>
  <si>
    <t>Limited access</t>
  </si>
  <si>
    <t>Full access</t>
  </si>
  <si>
    <t>will yield a speed limit based on the closest 85th-percentile speed for limited-access, developed, or undeveloped segments,</t>
  </si>
  <si>
    <t>or the closest 50th-percentile speed for full-access segments.</t>
  </si>
  <si>
    <t>None</t>
  </si>
  <si>
    <t>COPYRIGHT © 2021</t>
  </si>
  <si>
    <t>Fitzpatrick, K., S. Das, T. Gates, M. P. Pratt, and K. Dixon (2021)</t>
  </si>
  <si>
    <t>NCHRP Research Report 966: Posted Speed Limit Setting Procedure and Tool: User Guide</t>
  </si>
  <si>
    <t>The National Academies of Sciences, Engineering, and Medicine.</t>
  </si>
  <si>
    <t>≤ 55 mph</t>
  </si>
  <si>
    <t>≥ 60 mph</t>
  </si>
  <si>
    <t>Crash Rate Data Source</t>
  </si>
  <si>
    <t>TxDOT 2019</t>
  </si>
  <si>
    <t xml:space="preserve">  •  Crash Rates</t>
  </si>
  <si>
    <t>Updated by:  TxDOT 5-7049 Research Team</t>
  </si>
  <si>
    <t>None (one-way street)</t>
  </si>
  <si>
    <t xml:space="preserve">  Version 4</t>
  </si>
  <si>
    <t>Texas Version</t>
  </si>
  <si>
    <t>NCHRP 17-76 Speed Limit Setting Tool, Texas Version</t>
  </si>
  <si>
    <r>
      <rPr>
        <b/>
        <u/>
        <sz val="10"/>
        <color rgb="FF0000FF"/>
        <rFont val="Arial"/>
        <family val="2"/>
      </rPr>
      <t>Advisory</t>
    </r>
    <r>
      <rPr>
        <b/>
        <u/>
        <sz val="10"/>
        <rFont val="Arial"/>
        <family val="2"/>
      </rPr>
      <t>,</t>
    </r>
    <r>
      <rPr>
        <b/>
        <u/>
        <sz val="10"/>
        <color theme="1"/>
        <rFont val="Arial"/>
        <family val="2"/>
      </rPr>
      <t xml:space="preserve"> </t>
    </r>
    <r>
      <rPr>
        <b/>
        <u/>
        <sz val="10"/>
        <color rgb="FF7030A0"/>
        <rFont val="Arial"/>
        <family val="2"/>
      </rPr>
      <t>Calculated</t>
    </r>
    <r>
      <rPr>
        <b/>
        <u/>
        <sz val="10"/>
        <color theme="1"/>
        <rFont val="Arial"/>
        <family val="2"/>
      </rPr>
      <t xml:space="preserve">, or </t>
    </r>
    <r>
      <rPr>
        <b/>
        <u/>
        <sz val="10"/>
        <color rgb="FFCC0000"/>
        <rFont val="Arial"/>
        <family val="2"/>
      </rPr>
      <t>Warning</t>
    </r>
    <r>
      <rPr>
        <b/>
        <u/>
        <sz val="10"/>
        <color theme="1"/>
        <rFont val="Arial"/>
        <family val="2"/>
      </rPr>
      <t xml:space="preserve"> Messages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</si>
</sst>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26"/>
      <name val="Arial"/>
      <family val="2"/>
    </font>
    <font>
      <b/>
      <sz val="10"/>
      <name val="Arial"/>
      <family val="2"/>
    </font>
    <font>
      <b/>
      <sz val="10"/>
      <color rgb="FF002060"/>
      <name val="Arial"/>
      <family val="2"/>
    </font>
    <font>
      <b/>
      <sz val="12"/>
      <color rgb="FF002060"/>
      <name val="Arial"/>
      <family val="2"/>
    </font>
    <font>
      <b/>
      <u/>
      <sz val="10"/>
      <name val="Arial"/>
      <family val="2"/>
    </font>
    <font>
      <b/>
      <u/>
      <sz val="10"/>
      <color rgb="FF7030A0"/>
      <name val="Arial"/>
      <family val="2"/>
    </font>
    <font>
      <b/>
      <sz val="10"/>
      <color rgb="FF0000FF"/>
      <name val="Arial"/>
      <family val="2"/>
    </font>
    <font>
      <u/>
      <sz val="10"/>
      <name val="Arial"/>
      <family val="2"/>
    </font>
    <font>
      <b/>
      <sz val="16"/>
      <color theme="1"/>
      <name val="Arial"/>
      <family val="2"/>
    </font>
    <font>
      <u/>
      <sz val="10"/>
      <color theme="1"/>
      <name val="Arial"/>
      <family val="2"/>
    </font>
    <font>
      <b/>
      <sz val="16"/>
      <color rgb="FF002060"/>
      <name val="Arial"/>
      <family val="2"/>
    </font>
    <font>
      <sz val="10"/>
      <color theme="0"/>
      <name val="Arial"/>
      <family val="2"/>
    </font>
    <font>
      <b/>
      <i/>
      <sz val="10"/>
      <color theme="0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u/>
      <sz val="14"/>
      <name val="Arial"/>
      <family val="2"/>
    </font>
    <font>
      <b/>
      <sz val="10"/>
      <color rgb="FFCC0000"/>
      <name val="Arial"/>
      <family val="2"/>
    </font>
    <font>
      <b/>
      <u/>
      <sz val="10"/>
      <color rgb="FFCC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BC2E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5" fillId="0" borderId="0"/>
    <xf numFmtId="0" fontId="28" fillId="0" borderId="0"/>
  </cellStyleXfs>
  <cellXfs count="325">
    <xf numFmtId="0" fontId="0" fillId="0" borderId="0" xfId="0"/>
    <xf numFmtId="0" fontId="39" fillId="0" borderId="0" xfId="0" applyFont="1"/>
    <xf numFmtId="0" fontId="37" fillId="0" borderId="1" xfId="0" applyFont="1" applyBorder="1"/>
    <xf numFmtId="0" fontId="37" fillId="0" borderId="0" xfId="0" applyFont="1"/>
    <xf numFmtId="0" fontId="35" fillId="0" borderId="0" xfId="0" applyFont="1"/>
    <xf numFmtId="0" fontId="37" fillId="0" borderId="27" xfId="0" applyFont="1" applyBorder="1"/>
    <xf numFmtId="0" fontId="37" fillId="0" borderId="28" xfId="0" applyFont="1" applyBorder="1"/>
    <xf numFmtId="0" fontId="35" fillId="0" borderId="15" xfId="0" applyFont="1" applyBorder="1"/>
    <xf numFmtId="0" fontId="31" fillId="0" borderId="1" xfId="0" applyFont="1" applyBorder="1"/>
    <xf numFmtId="0" fontId="31" fillId="0" borderId="1" xfId="0" applyFont="1" applyBorder="1" applyAlignment="1">
      <alignment horizontal="left"/>
    </xf>
    <xf numFmtId="0" fontId="30" fillId="0" borderId="1" xfId="0" applyFont="1" applyBorder="1" applyAlignment="1">
      <alignment horizontal="left"/>
    </xf>
    <xf numFmtId="0" fontId="45" fillId="0" borderId="0" xfId="1"/>
    <xf numFmtId="0" fontId="47" fillId="0" borderId="0" xfId="1" applyFont="1"/>
    <xf numFmtId="0" fontId="36" fillId="0" borderId="1" xfId="0" applyFont="1" applyBorder="1" applyAlignment="1">
      <alignment horizontal="left"/>
    </xf>
    <xf numFmtId="0" fontId="21" fillId="0" borderId="1" xfId="0" applyFont="1" applyBorder="1"/>
    <xf numFmtId="0" fontId="25" fillId="0" borderId="0" xfId="0" applyFont="1"/>
    <xf numFmtId="0" fontId="35" fillId="0" borderId="12" xfId="0" applyFont="1" applyBorder="1"/>
    <xf numFmtId="0" fontId="35" fillId="0" borderId="14" xfId="0" applyFont="1" applyBorder="1"/>
    <xf numFmtId="0" fontId="35" fillId="0" borderId="18" xfId="0" applyFont="1" applyBorder="1"/>
    <xf numFmtId="0" fontId="35" fillId="0" borderId="16" xfId="0" applyFont="1" applyBorder="1"/>
    <xf numFmtId="0" fontId="35" fillId="0" borderId="17" xfId="0" applyFont="1" applyBorder="1"/>
    <xf numFmtId="0" fontId="35" fillId="0" borderId="19" xfId="0" applyFont="1" applyBorder="1"/>
    <xf numFmtId="0" fontId="33" fillId="0" borderId="19" xfId="0" applyFont="1" applyBorder="1"/>
    <xf numFmtId="0" fontId="35" fillId="0" borderId="20" xfId="0" applyFont="1" applyBorder="1"/>
    <xf numFmtId="0" fontId="31" fillId="0" borderId="0" xfId="0" applyFont="1" applyAlignment="1">
      <alignment horizontal="left"/>
    </xf>
    <xf numFmtId="0" fontId="41" fillId="0" borderId="0" xfId="0" applyFont="1"/>
    <xf numFmtId="0" fontId="50" fillId="0" borderId="0" xfId="1" applyFont="1"/>
    <xf numFmtId="0" fontId="37" fillId="0" borderId="40" xfId="0" applyFont="1" applyBorder="1"/>
    <xf numFmtId="0" fontId="41" fillId="4" borderId="2" xfId="0" applyFont="1" applyFill="1" applyBorder="1"/>
    <xf numFmtId="0" fontId="35" fillId="4" borderId="3" xfId="0" applyFont="1" applyFill="1" applyBorder="1"/>
    <xf numFmtId="0" fontId="25" fillId="4" borderId="3" xfId="0" applyFont="1" applyFill="1" applyBorder="1"/>
    <xf numFmtId="0" fontId="31" fillId="4" borderId="3" xfId="0" applyFont="1" applyFill="1" applyBorder="1" applyAlignment="1">
      <alignment horizontal="left"/>
    </xf>
    <xf numFmtId="0" fontId="31" fillId="4" borderId="3" xfId="0" applyFont="1" applyFill="1" applyBorder="1"/>
    <xf numFmtId="0" fontId="29" fillId="4" borderId="3" xfId="0" applyFont="1" applyFill="1" applyBorder="1"/>
    <xf numFmtId="0" fontId="35" fillId="4" borderId="4" xfId="0" applyFont="1" applyFill="1" applyBorder="1"/>
    <xf numFmtId="0" fontId="53" fillId="4" borderId="5" xfId="1" applyFont="1" applyFill="1" applyBorder="1"/>
    <xf numFmtId="0" fontId="25" fillId="4" borderId="0" xfId="0" applyFont="1" applyFill="1"/>
    <xf numFmtId="0" fontId="35" fillId="4" borderId="0" xfId="0" applyFont="1" applyFill="1"/>
    <xf numFmtId="0" fontId="31" fillId="4" borderId="0" xfId="0" applyFont="1" applyFill="1" applyAlignment="1">
      <alignment horizontal="left"/>
    </xf>
    <xf numFmtId="0" fontId="31" fillId="4" borderId="0" xfId="0" applyFont="1" applyFill="1"/>
    <xf numFmtId="0" fontId="29" fillId="4" borderId="0" xfId="0" applyFont="1" applyFill="1"/>
    <xf numFmtId="0" fontId="35" fillId="4" borderId="6" xfId="0" applyFont="1" applyFill="1" applyBorder="1"/>
    <xf numFmtId="0" fontId="21" fillId="4" borderId="5" xfId="0" applyFont="1" applyFill="1" applyBorder="1" applyAlignment="1">
      <alignment horizontal="left"/>
    </xf>
    <xf numFmtId="0" fontId="21" fillId="4" borderId="7" xfId="0" applyFont="1" applyFill="1" applyBorder="1" applyAlignment="1">
      <alignment horizontal="left"/>
    </xf>
    <xf numFmtId="0" fontId="35" fillId="4" borderId="8" xfId="0" applyFont="1" applyFill="1" applyBorder="1"/>
    <xf numFmtId="0" fontId="25" fillId="4" borderId="8" xfId="0" applyFont="1" applyFill="1" applyBorder="1"/>
    <xf numFmtId="0" fontId="31" fillId="4" borderId="8" xfId="0" applyFont="1" applyFill="1" applyBorder="1" applyAlignment="1">
      <alignment horizontal="left"/>
    </xf>
    <xf numFmtId="0" fontId="31" fillId="4" borderId="8" xfId="0" applyFont="1" applyFill="1" applyBorder="1"/>
    <xf numFmtId="0" fontId="29" fillId="4" borderId="8" xfId="0" applyFont="1" applyFill="1" applyBorder="1"/>
    <xf numFmtId="0" fontId="35" fillId="4" borderId="9" xfId="0" applyFont="1" applyFill="1" applyBorder="1"/>
    <xf numFmtId="0" fontId="19" fillId="0" borderId="1" xfId="0" applyFont="1" applyBorder="1" applyAlignment="1">
      <alignment horizontal="right"/>
    </xf>
    <xf numFmtId="0" fontId="38" fillId="0" borderId="1" xfId="0" applyFont="1" applyBorder="1" applyAlignment="1">
      <alignment horizontal="right"/>
    </xf>
    <xf numFmtId="0" fontId="32" fillId="0" borderId="1" xfId="0" applyFont="1" applyBorder="1" applyAlignment="1">
      <alignment horizontal="right"/>
    </xf>
    <xf numFmtId="0" fontId="22" fillId="0" borderId="26" xfId="0" applyFont="1" applyBorder="1" applyAlignment="1">
      <alignment horizontal="right"/>
    </xf>
    <xf numFmtId="0" fontId="22" fillId="0" borderId="1" xfId="0" applyFont="1" applyBorder="1" applyAlignment="1">
      <alignment horizontal="right"/>
    </xf>
    <xf numFmtId="0" fontId="32" fillId="0" borderId="26" xfId="0" applyFont="1" applyBorder="1" applyAlignment="1">
      <alignment horizontal="right"/>
    </xf>
    <xf numFmtId="0" fontId="32" fillId="0" borderId="40" xfId="0" applyFont="1" applyBorder="1" applyAlignment="1">
      <alignment horizontal="right"/>
    </xf>
    <xf numFmtId="0" fontId="18" fillId="0" borderId="1" xfId="0" applyFont="1" applyBorder="1"/>
    <xf numFmtId="0" fontId="37" fillId="8" borderId="11" xfId="0" applyFont="1" applyFill="1" applyBorder="1" applyAlignment="1" applyProtection="1">
      <alignment horizontal="right"/>
      <protection locked="0"/>
    </xf>
    <xf numFmtId="14" fontId="37" fillId="5" borderId="11" xfId="0" applyNumberFormat="1" applyFont="1" applyFill="1" applyBorder="1" applyAlignment="1" applyProtection="1">
      <alignment horizontal="right"/>
      <protection locked="0"/>
    </xf>
    <xf numFmtId="0" fontId="35" fillId="5" borderId="11" xfId="0" applyFont="1" applyFill="1" applyBorder="1" applyAlignment="1" applyProtection="1">
      <alignment horizontal="right"/>
      <protection locked="0"/>
    </xf>
    <xf numFmtId="0" fontId="35" fillId="5" borderId="30" xfId="0" applyFont="1" applyFill="1" applyBorder="1" applyAlignment="1" applyProtection="1">
      <alignment horizontal="right"/>
      <protection locked="0"/>
    </xf>
    <xf numFmtId="0" fontId="37" fillId="2" borderId="11" xfId="0" applyFont="1" applyFill="1" applyBorder="1" applyAlignment="1" applyProtection="1">
      <alignment horizontal="right"/>
      <protection locked="0"/>
    </xf>
    <xf numFmtId="0" fontId="37" fillId="2" borderId="13" xfId="0" applyFont="1" applyFill="1" applyBorder="1" applyAlignment="1" applyProtection="1">
      <alignment horizontal="right"/>
      <protection locked="0"/>
    </xf>
    <xf numFmtId="3" fontId="37" fillId="2" borderId="11" xfId="0" applyNumberFormat="1" applyFont="1" applyFill="1" applyBorder="1" applyAlignment="1" applyProtection="1">
      <alignment horizontal="right"/>
      <protection locked="0"/>
    </xf>
    <xf numFmtId="3" fontId="37" fillId="8" borderId="11" xfId="0" applyNumberFormat="1" applyFont="1" applyFill="1" applyBorder="1" applyAlignment="1" applyProtection="1">
      <alignment horizontal="right"/>
      <protection locked="0"/>
    </xf>
    <xf numFmtId="164" fontId="37" fillId="6" borderId="11" xfId="0" applyNumberFormat="1" applyFont="1" applyFill="1" applyBorder="1" applyAlignment="1" applyProtection="1">
      <alignment horizontal="right"/>
      <protection locked="0"/>
    </xf>
    <xf numFmtId="0" fontId="37" fillId="0" borderId="18" xfId="0" applyFont="1" applyBorder="1"/>
    <xf numFmtId="0" fontId="37" fillId="0" borderId="16" xfId="0" applyFont="1" applyBorder="1"/>
    <xf numFmtId="0" fontId="37" fillId="0" borderId="17" xfId="0" applyFont="1" applyBorder="1"/>
    <xf numFmtId="0" fontId="37" fillId="0" borderId="19" xfId="0" applyFont="1" applyBorder="1"/>
    <xf numFmtId="0" fontId="37" fillId="0" borderId="12" xfId="0" applyFont="1" applyBorder="1"/>
    <xf numFmtId="0" fontId="37" fillId="0" borderId="5" xfId="0" applyFont="1" applyBorder="1"/>
    <xf numFmtId="0" fontId="34" fillId="0" borderId="0" xfId="0" applyFont="1"/>
    <xf numFmtId="0" fontId="41" fillId="0" borderId="10" xfId="0" applyFont="1" applyBorder="1"/>
    <xf numFmtId="0" fontId="37" fillId="0" borderId="21" xfId="0" applyFont="1" applyBorder="1"/>
    <xf numFmtId="0" fontId="48" fillId="0" borderId="21" xfId="0" applyFont="1" applyBorder="1"/>
    <xf numFmtId="0" fontId="41" fillId="0" borderId="31" xfId="0" applyFont="1" applyBorder="1"/>
    <xf numFmtId="0" fontId="19" fillId="0" borderId="5" xfId="0" applyFont="1" applyBorder="1"/>
    <xf numFmtId="0" fontId="36" fillId="0" borderId="0" xfId="0" applyFont="1"/>
    <xf numFmtId="0" fontId="31" fillId="0" borderId="0" xfId="0" applyFont="1"/>
    <xf numFmtId="0" fontId="48" fillId="0" borderId="0" xfId="0" applyFont="1" applyAlignment="1">
      <alignment horizontal="center"/>
    </xf>
    <xf numFmtId="0" fontId="30" fillId="2" borderId="33" xfId="0" applyFont="1" applyFill="1" applyBorder="1"/>
    <xf numFmtId="0" fontId="26" fillId="0" borderId="0" xfId="0" applyFont="1"/>
    <xf numFmtId="0" fontId="30" fillId="9" borderId="33" xfId="0" applyFont="1" applyFill="1" applyBorder="1"/>
    <xf numFmtId="0" fontId="36" fillId="0" borderId="5" xfId="0" applyFont="1" applyBorder="1"/>
    <xf numFmtId="0" fontId="30" fillId="0" borderId="0" xfId="0" applyFont="1"/>
    <xf numFmtId="0" fontId="28" fillId="5" borderId="33" xfId="0" applyFont="1" applyFill="1" applyBorder="1"/>
    <xf numFmtId="0" fontId="48" fillId="0" borderId="0" xfId="0" applyFont="1"/>
    <xf numFmtId="0" fontId="29" fillId="3" borderId="33" xfId="0" applyFont="1" applyFill="1" applyBorder="1"/>
    <xf numFmtId="0" fontId="48" fillId="0" borderId="15" xfId="0" applyFont="1" applyBorder="1"/>
    <xf numFmtId="0" fontId="37" fillId="0" borderId="8" xfId="0" applyFont="1" applyBorder="1"/>
    <xf numFmtId="0" fontId="35" fillId="0" borderId="0" xfId="0" applyFont="1" applyAlignment="1">
      <alignment horizontal="right" wrapText="1"/>
    </xf>
    <xf numFmtId="0" fontId="41" fillId="0" borderId="25" xfId="0" applyFont="1" applyBorder="1"/>
    <xf numFmtId="0" fontId="19" fillId="0" borderId="0" xfId="0" applyFont="1"/>
    <xf numFmtId="0" fontId="49" fillId="0" borderId="15" xfId="0" applyFont="1" applyBorder="1" applyAlignment="1">
      <alignment vertical="center"/>
    </xf>
    <xf numFmtId="0" fontId="40" fillId="0" borderId="0" xfId="0" applyFont="1"/>
    <xf numFmtId="0" fontId="27" fillId="0" borderId="0" xfId="0" applyFont="1"/>
    <xf numFmtId="0" fontId="39" fillId="0" borderId="15" xfId="0" applyFont="1" applyBorder="1"/>
    <xf numFmtId="0" fontId="48" fillId="0" borderId="15" xfId="0" applyFont="1" applyBorder="1" applyAlignment="1">
      <alignment horizontal="center"/>
    </xf>
    <xf numFmtId="0" fontId="20" fillId="0" borderId="0" xfId="0" applyFont="1"/>
    <xf numFmtId="0" fontId="30" fillId="0" borderId="15" xfId="0" applyFont="1" applyBorder="1"/>
    <xf numFmtId="0" fontId="30" fillId="0" borderId="7" xfId="0" applyFont="1" applyBorder="1"/>
    <xf numFmtId="0" fontId="37" fillId="0" borderId="29" xfId="0" applyFont="1" applyBorder="1" applyAlignment="1">
      <alignment horizontal="right"/>
    </xf>
    <xf numFmtId="0" fontId="37" fillId="0" borderId="29" xfId="0" applyFont="1" applyBorder="1"/>
    <xf numFmtId="0" fontId="48" fillId="0" borderId="29" xfId="0" applyFont="1" applyBorder="1"/>
    <xf numFmtId="0" fontId="42" fillId="0" borderId="29" xfId="0" applyFont="1" applyBorder="1"/>
    <xf numFmtId="0" fontId="33" fillId="0" borderId="0" xfId="0" applyFont="1"/>
    <xf numFmtId="0" fontId="37" fillId="0" borderId="20" xfId="0" applyFont="1" applyBorder="1"/>
    <xf numFmtId="0" fontId="37" fillId="0" borderId="15" xfId="0" applyFont="1" applyBorder="1"/>
    <xf numFmtId="0" fontId="37" fillId="0" borderId="14" xfId="0" applyFont="1" applyBorder="1"/>
    <xf numFmtId="0" fontId="17" fillId="0" borderId="0" xfId="0" applyFont="1"/>
    <xf numFmtId="0" fontId="17" fillId="8" borderId="11" xfId="0" applyFont="1" applyFill="1" applyBorder="1" applyAlignment="1" applyProtection="1">
      <alignment horizontal="right"/>
      <protection locked="0"/>
    </xf>
    <xf numFmtId="0" fontId="17" fillId="8" borderId="13" xfId="0" applyFont="1" applyFill="1" applyBorder="1" applyAlignment="1" applyProtection="1">
      <alignment horizontal="right"/>
      <protection locked="0"/>
    </xf>
    <xf numFmtId="0" fontId="37" fillId="0" borderId="0" xfId="0" applyFont="1" applyAlignment="1">
      <alignment horizontal="center"/>
    </xf>
    <xf numFmtId="0" fontId="37" fillId="0" borderId="6" xfId="0" applyFont="1" applyBorder="1" applyAlignment="1">
      <alignment horizontal="center"/>
    </xf>
    <xf numFmtId="0" fontId="37" fillId="0" borderId="8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52" fillId="0" borderId="24" xfId="0" applyFont="1" applyBorder="1" applyAlignment="1">
      <alignment vertical="center" wrapText="1"/>
    </xf>
    <xf numFmtId="0" fontId="16" fillId="0" borderId="1" xfId="0" applyFont="1" applyBorder="1" applyAlignment="1">
      <alignment horizontal="right"/>
    </xf>
    <xf numFmtId="2" fontId="37" fillId="0" borderId="0" xfId="0" applyNumberFormat="1" applyFont="1"/>
    <xf numFmtId="0" fontId="45" fillId="0" borderId="32" xfId="0" applyFont="1" applyBorder="1"/>
    <xf numFmtId="0" fontId="41" fillId="0" borderId="41" xfId="0" applyFont="1" applyBorder="1"/>
    <xf numFmtId="0" fontId="15" fillId="2" borderId="11" xfId="0" applyFont="1" applyFill="1" applyBorder="1" applyAlignment="1" applyProtection="1">
      <alignment horizontal="right"/>
      <protection locked="0"/>
    </xf>
    <xf numFmtId="0" fontId="15" fillId="2" borderId="13" xfId="0" applyFont="1" applyFill="1" applyBorder="1" applyAlignment="1" applyProtection="1">
      <alignment horizontal="right"/>
      <protection locked="0"/>
    </xf>
    <xf numFmtId="3" fontId="15" fillId="2" borderId="11" xfId="0" applyNumberFormat="1" applyFont="1" applyFill="1" applyBorder="1" applyAlignment="1" applyProtection="1">
      <alignment horizontal="right"/>
      <protection locked="0"/>
    </xf>
    <xf numFmtId="0" fontId="47" fillId="0" borderId="24" xfId="0" applyFont="1" applyBorder="1"/>
    <xf numFmtId="0" fontId="15" fillId="8" borderId="13" xfId="0" applyFont="1" applyFill="1" applyBorder="1" applyAlignment="1" applyProtection="1">
      <alignment horizontal="right"/>
      <protection locked="0"/>
    </xf>
    <xf numFmtId="0" fontId="37" fillId="8" borderId="13" xfId="0" applyFont="1" applyFill="1" applyBorder="1" applyAlignment="1" applyProtection="1">
      <alignment horizontal="right"/>
      <protection locked="0"/>
    </xf>
    <xf numFmtId="0" fontId="31" fillId="0" borderId="15" xfId="0" applyFont="1" applyBorder="1"/>
    <xf numFmtId="0" fontId="30" fillId="9" borderId="42" xfId="0" applyFont="1" applyFill="1" applyBorder="1"/>
    <xf numFmtId="0" fontId="29" fillId="3" borderId="43" xfId="0" applyFont="1" applyFill="1" applyBorder="1"/>
    <xf numFmtId="0" fontId="36" fillId="0" borderId="8" xfId="0" applyFont="1" applyBorder="1"/>
    <xf numFmtId="0" fontId="29" fillId="0" borderId="8" xfId="0" applyFont="1" applyBorder="1"/>
    <xf numFmtId="0" fontId="37" fillId="0" borderId="9" xfId="0" applyFont="1" applyBorder="1" applyAlignment="1">
      <alignment horizontal="center"/>
    </xf>
    <xf numFmtId="0" fontId="56" fillId="0" borderId="15" xfId="0" applyFont="1" applyBorder="1" applyAlignment="1">
      <alignment vertical="center"/>
    </xf>
    <xf numFmtId="0" fontId="44" fillId="0" borderId="23" xfId="0" applyFont="1" applyBorder="1"/>
    <xf numFmtId="0" fontId="14" fillId="0" borderId="0" xfId="0" applyFont="1"/>
    <xf numFmtId="0" fontId="12" fillId="5" borderId="13" xfId="0" applyFont="1" applyFill="1" applyBorder="1" applyAlignment="1" applyProtection="1">
      <alignment horizontal="right" wrapText="1"/>
      <protection locked="0"/>
    </xf>
    <xf numFmtId="0" fontId="12" fillId="5" borderId="13" xfId="0" quotePrefix="1" applyFont="1" applyFill="1" applyBorder="1" applyAlignment="1" applyProtection="1">
      <alignment horizontal="right" wrapText="1"/>
      <protection locked="0"/>
    </xf>
    <xf numFmtId="0" fontId="45" fillId="7" borderId="32" xfId="0" applyFont="1" applyFill="1" applyBorder="1"/>
    <xf numFmtId="0" fontId="45" fillId="7" borderId="33" xfId="0" applyFont="1" applyFill="1" applyBorder="1"/>
    <xf numFmtId="0" fontId="11" fillId="0" borderId="0" xfId="0" applyFont="1"/>
    <xf numFmtId="0" fontId="11" fillId="5" borderId="11" xfId="0" applyFont="1" applyFill="1" applyBorder="1" applyAlignment="1" applyProtection="1">
      <alignment horizontal="right"/>
      <protection locked="0"/>
    </xf>
    <xf numFmtId="0" fontId="45" fillId="5" borderId="0" xfId="1" applyFill="1"/>
    <xf numFmtId="0" fontId="45" fillId="12" borderId="0" xfId="1" applyFill="1"/>
    <xf numFmtId="0" fontId="57" fillId="13" borderId="0" xfId="1" applyFont="1" applyFill="1"/>
    <xf numFmtId="0" fontId="10" fillId="10" borderId="33" xfId="0" applyFont="1" applyFill="1" applyBorder="1"/>
    <xf numFmtId="0" fontId="10" fillId="6" borderId="33" xfId="0" applyFont="1" applyFill="1" applyBorder="1"/>
    <xf numFmtId="0" fontId="58" fillId="14" borderId="48" xfId="0" applyFont="1" applyFill="1" applyBorder="1"/>
    <xf numFmtId="0" fontId="57" fillId="14" borderId="49" xfId="0" applyFont="1" applyFill="1" applyBorder="1"/>
    <xf numFmtId="0" fontId="57" fillId="14" borderId="47" xfId="0" applyFont="1" applyFill="1" applyBorder="1"/>
    <xf numFmtId="0" fontId="10" fillId="0" borderId="0" xfId="0" applyFont="1"/>
    <xf numFmtId="0" fontId="30" fillId="2" borderId="41" xfId="0" applyFont="1" applyFill="1" applyBorder="1"/>
    <xf numFmtId="0" fontId="30" fillId="2" borderId="50" xfId="0" applyFont="1" applyFill="1" applyBorder="1"/>
    <xf numFmtId="0" fontId="30" fillId="9" borderId="52" xfId="0" applyFont="1" applyFill="1" applyBorder="1"/>
    <xf numFmtId="0" fontId="9" fillId="9" borderId="51" xfId="0" applyFont="1" applyFill="1" applyBorder="1"/>
    <xf numFmtId="0" fontId="59" fillId="0" borderId="0" xfId="0" applyFont="1" applyAlignment="1">
      <alignment horizontal="center"/>
    </xf>
    <xf numFmtId="0" fontId="54" fillId="3" borderId="53" xfId="0" applyFont="1" applyFill="1" applyBorder="1" applyAlignment="1">
      <alignment horizontal="right" vertical="center"/>
    </xf>
    <xf numFmtId="0" fontId="37" fillId="0" borderId="51" xfId="0" applyFont="1" applyBorder="1"/>
    <xf numFmtId="0" fontId="54" fillId="0" borderId="53" xfId="0" applyFont="1" applyBorder="1" applyAlignment="1">
      <alignment horizontal="right" vertical="center"/>
    </xf>
    <xf numFmtId="0" fontId="27" fillId="0" borderId="8" xfId="0" applyFont="1" applyBorder="1"/>
    <xf numFmtId="0" fontId="37" fillId="0" borderId="54" xfId="0" applyFont="1" applyBorder="1"/>
    <xf numFmtId="0" fontId="37" fillId="0" borderId="55" xfId="0" applyFont="1" applyBorder="1"/>
    <xf numFmtId="0" fontId="37" fillId="0" borderId="56" xfId="0" applyFont="1" applyBorder="1"/>
    <xf numFmtId="164" fontId="37" fillId="10" borderId="28" xfId="0" applyNumberFormat="1" applyFont="1" applyFill="1" applyBorder="1" applyAlignment="1">
      <alignment horizontal="right"/>
    </xf>
    <xf numFmtId="164" fontId="37" fillId="10" borderId="53" xfId="0" applyNumberFormat="1" applyFont="1" applyFill="1" applyBorder="1" applyAlignment="1">
      <alignment horizontal="right"/>
    </xf>
    <xf numFmtId="0" fontId="16" fillId="0" borderId="6" xfId="0" applyFont="1" applyBorder="1" applyAlignment="1">
      <alignment horizontal="right"/>
    </xf>
    <xf numFmtId="0" fontId="27" fillId="0" borderId="6" xfId="0" applyFont="1" applyBorder="1" applyAlignment="1">
      <alignment horizontal="right"/>
    </xf>
    <xf numFmtId="0" fontId="27" fillId="0" borderId="57" xfId="0" applyFont="1" applyBorder="1" applyAlignment="1">
      <alignment horizontal="right"/>
    </xf>
    <xf numFmtId="164" fontId="37" fillId="10" borderId="1" xfId="0" applyNumberFormat="1" applyFont="1" applyFill="1" applyBorder="1" applyAlignment="1">
      <alignment horizontal="right"/>
    </xf>
    <xf numFmtId="164" fontId="37" fillId="10" borderId="58" xfId="0" applyNumberFormat="1" applyFont="1" applyFill="1" applyBorder="1" applyAlignment="1">
      <alignment horizontal="right"/>
    </xf>
    <xf numFmtId="0" fontId="54" fillId="3" borderId="53" xfId="0" applyFont="1" applyFill="1" applyBorder="1" applyAlignment="1">
      <alignment horizontal="center" vertical="center"/>
    </xf>
    <xf numFmtId="0" fontId="54" fillId="3" borderId="58" xfId="0" applyFont="1" applyFill="1" applyBorder="1" applyAlignment="1">
      <alignment horizontal="center" vertical="center"/>
    </xf>
    <xf numFmtId="0" fontId="37" fillId="15" borderId="5" xfId="0" applyFont="1" applyFill="1" applyBorder="1"/>
    <xf numFmtId="0" fontId="37" fillId="15" borderId="0" xfId="0" applyFont="1" applyFill="1"/>
    <xf numFmtId="0" fontId="34" fillId="15" borderId="0" xfId="0" applyFont="1" applyFill="1"/>
    <xf numFmtId="0" fontId="37" fillId="15" borderId="0" xfId="0" applyFont="1" applyFill="1" applyAlignment="1">
      <alignment horizontal="center"/>
    </xf>
    <xf numFmtId="0" fontId="37" fillId="15" borderId="6" xfId="0" applyFont="1" applyFill="1" applyBorder="1" applyAlignment="1">
      <alignment horizontal="center"/>
    </xf>
    <xf numFmtId="0" fontId="19" fillId="15" borderId="5" xfId="0" applyFont="1" applyFill="1" applyBorder="1"/>
    <xf numFmtId="0" fontId="36" fillId="15" borderId="0" xfId="0" applyFont="1" applyFill="1"/>
    <xf numFmtId="0" fontId="14" fillId="15" borderId="0" xfId="0" applyFont="1" applyFill="1"/>
    <xf numFmtId="0" fontId="15" fillId="15" borderId="6" xfId="0" applyFont="1" applyFill="1" applyBorder="1" applyAlignment="1">
      <alignment horizontal="center"/>
    </xf>
    <xf numFmtId="0" fontId="30" fillId="15" borderId="5" xfId="0" applyFont="1" applyFill="1" applyBorder="1"/>
    <xf numFmtId="0" fontId="30" fillId="15" borderId="0" xfId="0" applyFont="1" applyFill="1"/>
    <xf numFmtId="0" fontId="23" fillId="15" borderId="7" xfId="0" applyFont="1" applyFill="1" applyBorder="1"/>
    <xf numFmtId="0" fontId="37" fillId="15" borderId="8" xfId="0" applyFont="1" applyFill="1" applyBorder="1"/>
    <xf numFmtId="0" fontId="37" fillId="15" borderId="8" xfId="0" applyFont="1" applyFill="1" applyBorder="1" applyAlignment="1">
      <alignment horizontal="center"/>
    </xf>
    <xf numFmtId="0" fontId="37" fillId="15" borderId="9" xfId="0" applyFont="1" applyFill="1" applyBorder="1" applyAlignment="1">
      <alignment horizontal="center"/>
    </xf>
    <xf numFmtId="0" fontId="37" fillId="15" borderId="6" xfId="0" applyFont="1" applyFill="1" applyBorder="1" applyAlignment="1">
      <alignment horizontal="right"/>
    </xf>
    <xf numFmtId="0" fontId="37" fillId="15" borderId="7" xfId="0" applyFont="1" applyFill="1" applyBorder="1"/>
    <xf numFmtId="0" fontId="37" fillId="15" borderId="9" xfId="0" applyFont="1" applyFill="1" applyBorder="1"/>
    <xf numFmtId="0" fontId="36" fillId="15" borderId="6" xfId="0" applyFont="1" applyFill="1" applyBorder="1" applyAlignment="1">
      <alignment horizontal="center"/>
    </xf>
    <xf numFmtId="0" fontId="14" fillId="15" borderId="8" xfId="0" applyFont="1" applyFill="1" applyBorder="1"/>
    <xf numFmtId="0" fontId="17" fillId="15" borderId="6" xfId="0" applyFont="1" applyFill="1" applyBorder="1" applyAlignment="1">
      <alignment horizontal="center"/>
    </xf>
    <xf numFmtId="0" fontId="30" fillId="15" borderId="7" xfId="0" applyFont="1" applyFill="1" applyBorder="1"/>
    <xf numFmtId="0" fontId="30" fillId="15" borderId="8" xfId="0" applyFont="1" applyFill="1" applyBorder="1"/>
    <xf numFmtId="0" fontId="36" fillId="15" borderId="5" xfId="0" applyFont="1" applyFill="1" applyBorder="1"/>
    <xf numFmtId="0" fontId="36" fillId="15" borderId="0" xfId="0" applyFont="1" applyFill="1" applyAlignment="1">
      <alignment horizontal="center"/>
    </xf>
    <xf numFmtId="0" fontId="13" fillId="15" borderId="0" xfId="0" applyFont="1" applyFill="1"/>
    <xf numFmtId="3" fontId="37" fillId="15" borderId="0" xfId="0" applyNumberFormat="1" applyFont="1" applyFill="1"/>
    <xf numFmtId="0" fontId="36" fillId="15" borderId="0" xfId="0" quotePrefix="1" applyFont="1" applyFill="1"/>
    <xf numFmtId="0" fontId="36" fillId="15" borderId="0" xfId="0" quotePrefix="1" applyFont="1" applyFill="1" applyAlignment="1">
      <alignment horizontal="center"/>
    </xf>
    <xf numFmtId="0" fontId="13" fillId="15" borderId="8" xfId="0" applyFont="1" applyFill="1" applyBorder="1"/>
    <xf numFmtId="0" fontId="23" fillId="15" borderId="5" xfId="0" applyFont="1" applyFill="1" applyBorder="1"/>
    <xf numFmtId="0" fontId="23" fillId="15" borderId="0" xfId="0" applyFont="1" applyFill="1"/>
    <xf numFmtId="0" fontId="8" fillId="15" borderId="5" xfId="0" applyFont="1" applyFill="1" applyBorder="1"/>
    <xf numFmtId="0" fontId="8" fillId="15" borderId="0" xfId="0" applyFont="1" applyFill="1"/>
    <xf numFmtId="0" fontId="31" fillId="15" borderId="0" xfId="0" applyFont="1" applyFill="1"/>
    <xf numFmtId="0" fontId="31" fillId="15" borderId="5" xfId="0" applyFont="1" applyFill="1" applyBorder="1"/>
    <xf numFmtId="0" fontId="20" fillId="15" borderId="0" xfId="0" quotePrefix="1" applyFont="1" applyFill="1" applyAlignment="1">
      <alignment horizontal="center"/>
    </xf>
    <xf numFmtId="0" fontId="35" fillId="15" borderId="5" xfId="0" applyFont="1" applyFill="1" applyBorder="1"/>
    <xf numFmtId="0" fontId="24" fillId="15" borderId="0" xfId="0" applyFont="1" applyFill="1"/>
    <xf numFmtId="0" fontId="25" fillId="4" borderId="1" xfId="0" applyFont="1" applyFill="1" applyBorder="1" applyProtection="1">
      <protection locked="0"/>
    </xf>
    <xf numFmtId="0" fontId="37" fillId="4" borderId="1" xfId="0" applyFont="1" applyFill="1" applyBorder="1" applyProtection="1">
      <protection locked="0"/>
    </xf>
    <xf numFmtId="2" fontId="45" fillId="4" borderId="1" xfId="0" applyNumberFormat="1" applyFont="1" applyFill="1" applyBorder="1" applyProtection="1">
      <protection locked="0"/>
    </xf>
    <xf numFmtId="2" fontId="37" fillId="4" borderId="1" xfId="0" applyNumberFormat="1" applyFont="1" applyFill="1" applyBorder="1" applyProtection="1">
      <protection locked="0"/>
    </xf>
    <xf numFmtId="0" fontId="10" fillId="4" borderId="5" xfId="0" applyFont="1" applyFill="1" applyBorder="1"/>
    <xf numFmtId="0" fontId="11" fillId="4" borderId="5" xfId="0" applyFont="1" applyFill="1" applyBorder="1"/>
    <xf numFmtId="0" fontId="37" fillId="8" borderId="46" xfId="0" applyFont="1" applyFill="1" applyBorder="1" applyAlignment="1">
      <alignment horizontal="right"/>
    </xf>
    <xf numFmtId="0" fontId="15" fillId="2" borderId="44" xfId="0" applyFont="1" applyFill="1" applyBorder="1" applyAlignment="1">
      <alignment horizontal="right"/>
    </xf>
    <xf numFmtId="0" fontId="15" fillId="2" borderId="11" xfId="0" applyFont="1" applyFill="1" applyBorder="1" applyAlignment="1">
      <alignment horizontal="right"/>
    </xf>
    <xf numFmtId="0" fontId="15" fillId="2" borderId="13" xfId="0" applyFont="1" applyFill="1" applyBorder="1" applyAlignment="1">
      <alignment horizontal="right"/>
    </xf>
    <xf numFmtId="3" fontId="15" fillId="2" borderId="11" xfId="0" applyNumberFormat="1" applyFont="1" applyFill="1" applyBorder="1" applyAlignment="1">
      <alignment horizontal="right"/>
    </xf>
    <xf numFmtId="0" fontId="10" fillId="4" borderId="7" xfId="0" applyFont="1" applyFill="1" applyBorder="1"/>
    <xf numFmtId="0" fontId="11" fillId="0" borderId="0" xfId="0" applyFont="1" applyAlignment="1">
      <alignment horizontal="right"/>
    </xf>
    <xf numFmtId="0" fontId="17" fillId="8" borderId="13" xfId="0" applyFont="1" applyFill="1" applyBorder="1" applyAlignment="1">
      <alignment horizontal="right"/>
    </xf>
    <xf numFmtId="0" fontId="37" fillId="2" borderId="44" xfId="0" applyFont="1" applyFill="1" applyBorder="1" applyAlignment="1">
      <alignment horizontal="right"/>
    </xf>
    <xf numFmtId="0" fontId="37" fillId="2" borderId="11" xfId="0" applyFont="1" applyFill="1" applyBorder="1" applyAlignment="1">
      <alignment horizontal="right"/>
    </xf>
    <xf numFmtId="3" fontId="37" fillId="2" borderId="11" xfId="0" applyNumberFormat="1" applyFont="1" applyFill="1" applyBorder="1" applyAlignment="1">
      <alignment horizontal="right"/>
    </xf>
    <xf numFmtId="0" fontId="37" fillId="2" borderId="13" xfId="0" applyFont="1" applyFill="1" applyBorder="1" applyAlignment="1">
      <alignment horizontal="right"/>
    </xf>
    <xf numFmtId="0" fontId="17" fillId="8" borderId="11" xfId="0" applyFont="1" applyFill="1" applyBorder="1" applyAlignment="1">
      <alignment horizontal="right"/>
    </xf>
    <xf numFmtId="0" fontId="11" fillId="8" borderId="46" xfId="0" applyFont="1" applyFill="1" applyBorder="1" applyAlignment="1">
      <alignment horizontal="right"/>
    </xf>
    <xf numFmtId="0" fontId="37" fillId="8" borderId="11" xfId="0" applyFont="1" applyFill="1" applyBorder="1" applyAlignment="1">
      <alignment horizontal="right"/>
    </xf>
    <xf numFmtId="3" fontId="37" fillId="8" borderId="11" xfId="0" applyNumberFormat="1" applyFont="1" applyFill="1" applyBorder="1" applyAlignment="1">
      <alignment horizontal="right"/>
    </xf>
    <xf numFmtId="0" fontId="15" fillId="8" borderId="13" xfId="0" applyFont="1" applyFill="1" applyBorder="1" applyAlignment="1">
      <alignment horizontal="right"/>
    </xf>
    <xf numFmtId="0" fontId="7" fillId="0" borderId="1" xfId="0" applyFont="1" applyBorder="1" applyAlignment="1">
      <alignment horizontal="left"/>
    </xf>
    <xf numFmtId="0" fontId="31" fillId="0" borderId="0" xfId="0" applyFont="1" applyAlignment="1">
      <alignment horizontal="left" indent="2"/>
    </xf>
    <xf numFmtId="0" fontId="31" fillId="0" borderId="15" xfId="0" applyFont="1" applyBorder="1" applyAlignment="1">
      <alignment horizontal="left" indent="2"/>
    </xf>
    <xf numFmtId="0" fontId="30" fillId="0" borderId="0" xfId="0" applyFont="1" applyAlignment="1">
      <alignment horizontal="left" indent="2"/>
    </xf>
    <xf numFmtId="0" fontId="11" fillId="0" borderId="0" xfId="0" applyFont="1" applyAlignment="1">
      <alignment horizontal="left" indent="2"/>
    </xf>
    <xf numFmtId="0" fontId="37" fillId="0" borderId="0" xfId="0" applyFont="1" applyAlignment="1">
      <alignment horizontal="left" indent="2"/>
    </xf>
    <xf numFmtId="0" fontId="35" fillId="0" borderId="0" xfId="0" applyFont="1" applyAlignment="1">
      <alignment horizontal="left" indent="2"/>
    </xf>
    <xf numFmtId="0" fontId="35" fillId="0" borderId="15" xfId="0" applyFont="1" applyBorder="1" applyAlignment="1">
      <alignment horizontal="left" indent="2"/>
    </xf>
    <xf numFmtId="0" fontId="27" fillId="0" borderId="0" xfId="0" applyFont="1" applyAlignment="1">
      <alignment horizontal="left" indent="2"/>
    </xf>
    <xf numFmtId="0" fontId="39" fillId="0" borderId="0" xfId="0" applyFont="1" applyAlignment="1">
      <alignment horizontal="left" indent="2"/>
    </xf>
    <xf numFmtId="0" fontId="39" fillId="0" borderId="15" xfId="0" applyFont="1" applyBorder="1" applyAlignment="1">
      <alignment horizontal="left" indent="2"/>
    </xf>
    <xf numFmtId="0" fontId="26" fillId="0" borderId="0" xfId="0" applyFont="1" applyAlignment="1">
      <alignment horizontal="left" indent="2"/>
    </xf>
    <xf numFmtId="0" fontId="17" fillId="0" borderId="0" xfId="0" applyFont="1" applyAlignment="1">
      <alignment horizontal="left" indent="2"/>
    </xf>
    <xf numFmtId="0" fontId="36" fillId="0" borderId="0" xfId="0" applyFont="1" applyAlignment="1">
      <alignment horizontal="left" indent="2"/>
    </xf>
    <xf numFmtId="0" fontId="30" fillId="0" borderId="15" xfId="0" applyFont="1" applyBorder="1" applyAlignment="1">
      <alignment horizontal="left" indent="2"/>
    </xf>
    <xf numFmtId="0" fontId="33" fillId="0" borderId="0" xfId="0" applyFont="1" applyAlignment="1">
      <alignment horizontal="left" indent="2"/>
    </xf>
    <xf numFmtId="0" fontId="19" fillId="0" borderId="0" xfId="0" applyFont="1" applyAlignment="1">
      <alignment horizontal="left" indent="2"/>
    </xf>
    <xf numFmtId="0" fontId="10" fillId="0" borderId="0" xfId="0" applyFont="1" applyAlignment="1">
      <alignment horizontal="left" indent="2"/>
    </xf>
    <xf numFmtId="0" fontId="20" fillId="0" borderId="0" xfId="0" applyFont="1" applyAlignment="1">
      <alignment horizontal="left" indent="2"/>
    </xf>
    <xf numFmtId="0" fontId="31" fillId="0" borderId="47" xfId="0" applyFont="1" applyBorder="1" applyAlignment="1">
      <alignment horizontal="left" indent="2"/>
    </xf>
    <xf numFmtId="0" fontId="27" fillId="0" borderId="45" xfId="0" applyFont="1" applyBorder="1" applyAlignment="1">
      <alignment horizontal="left" indent="2"/>
    </xf>
    <xf numFmtId="0" fontId="39" fillId="0" borderId="12" xfId="0" applyFont="1" applyBorder="1" applyAlignment="1">
      <alignment horizontal="left" indent="2"/>
    </xf>
    <xf numFmtId="0" fontId="39" fillId="0" borderId="14" xfId="0" applyFont="1" applyBorder="1" applyAlignment="1">
      <alignment horizontal="left" indent="2"/>
    </xf>
    <xf numFmtId="0" fontId="26" fillId="0" borderId="45" xfId="0" applyFont="1" applyBorder="1" applyAlignment="1">
      <alignment horizontal="left" indent="2"/>
    </xf>
    <xf numFmtId="0" fontId="17" fillId="0" borderId="12" xfId="0" applyFont="1" applyBorder="1" applyAlignment="1">
      <alignment horizontal="left" indent="2"/>
    </xf>
    <xf numFmtId="0" fontId="36" fillId="0" borderId="12" xfId="0" applyFont="1" applyBorder="1" applyAlignment="1">
      <alignment horizontal="left" indent="2"/>
    </xf>
    <xf numFmtId="0" fontId="30" fillId="0" borderId="14" xfId="0" applyFont="1" applyBorder="1" applyAlignment="1">
      <alignment horizontal="left" indent="2"/>
    </xf>
    <xf numFmtId="0" fontId="39" fillId="0" borderId="45" xfId="0" applyFont="1" applyBorder="1" applyAlignment="1">
      <alignment horizontal="left" indent="2"/>
    </xf>
    <xf numFmtId="0" fontId="33" fillId="0" borderId="12" xfId="0" applyFont="1" applyBorder="1" applyAlignment="1">
      <alignment horizontal="left" indent="2"/>
    </xf>
    <xf numFmtId="0" fontId="26" fillId="0" borderId="12" xfId="0" applyFont="1" applyBorder="1" applyAlignment="1">
      <alignment horizontal="left" indent="2"/>
    </xf>
    <xf numFmtId="0" fontId="27" fillId="0" borderId="14" xfId="0" applyFont="1" applyBorder="1" applyAlignment="1">
      <alignment horizontal="left" indent="2"/>
    </xf>
    <xf numFmtId="0" fontId="35" fillId="0" borderId="12" xfId="0" applyFont="1" applyBorder="1" applyAlignment="1">
      <alignment horizontal="left" indent="2"/>
    </xf>
    <xf numFmtId="0" fontId="19" fillId="0" borderId="12" xfId="0" applyFont="1" applyBorder="1" applyAlignment="1">
      <alignment horizontal="left" indent="2"/>
    </xf>
    <xf numFmtId="0" fontId="37" fillId="0" borderId="12" xfId="0" applyFont="1" applyBorder="1" applyAlignment="1">
      <alignment horizontal="left" indent="2"/>
    </xf>
    <xf numFmtId="0" fontId="20" fillId="0" borderId="12" xfId="0" applyFont="1" applyBorder="1" applyAlignment="1">
      <alignment horizontal="left" indent="2"/>
    </xf>
    <xf numFmtId="0" fontId="31" fillId="0" borderId="12" xfId="0" applyFont="1" applyBorder="1" applyAlignment="1">
      <alignment horizontal="left" indent="2"/>
    </xf>
    <xf numFmtId="0" fontId="30" fillId="0" borderId="12" xfId="0" applyFont="1" applyBorder="1" applyAlignment="1">
      <alignment horizontal="left" indent="2"/>
    </xf>
    <xf numFmtId="0" fontId="41" fillId="0" borderId="23" xfId="0" applyFont="1" applyBorder="1"/>
    <xf numFmtId="0" fontId="54" fillId="0" borderId="57" xfId="0" applyFont="1" applyBorder="1" applyAlignment="1">
      <alignment horizontal="right" vertical="center"/>
    </xf>
    <xf numFmtId="0" fontId="41" fillId="0" borderId="54" xfId="0" applyFont="1" applyBorder="1"/>
    <xf numFmtId="0" fontId="6" fillId="0" borderId="3" xfId="0" applyFont="1" applyBorder="1" applyAlignment="1">
      <alignment horizontal="right"/>
    </xf>
    <xf numFmtId="0" fontId="6" fillId="10" borderId="1" xfId="0" applyFont="1" applyFill="1" applyBorder="1" applyAlignment="1">
      <alignment horizontal="center"/>
    </xf>
    <xf numFmtId="0" fontId="6" fillId="0" borderId="0" xfId="0" applyFont="1" applyAlignment="1">
      <alignment horizontal="left" indent="2"/>
    </xf>
    <xf numFmtId="0" fontId="6" fillId="15" borderId="5" xfId="0" applyFont="1" applyFill="1" applyBorder="1"/>
    <xf numFmtId="0" fontId="60" fillId="0" borderId="0" xfId="1" applyFont="1"/>
    <xf numFmtId="0" fontId="5" fillId="15" borderId="0" xfId="0" applyFont="1" applyFill="1"/>
    <xf numFmtId="0" fontId="15" fillId="17" borderId="11" xfId="0" applyFont="1" applyFill="1" applyBorder="1" applyAlignment="1" applyProtection="1">
      <alignment horizontal="right"/>
      <protection locked="0"/>
    </xf>
    <xf numFmtId="0" fontId="5" fillId="15" borderId="5" xfId="0" applyFont="1" applyFill="1" applyBorder="1"/>
    <xf numFmtId="0" fontId="15" fillId="8" borderId="11" xfId="0" applyFont="1" applyFill="1" applyBorder="1" applyAlignment="1">
      <alignment horizontal="right"/>
    </xf>
    <xf numFmtId="2" fontId="4" fillId="4" borderId="1" xfId="0" applyNumberFormat="1" applyFont="1" applyFill="1" applyBorder="1" applyProtection="1">
      <protection locked="0"/>
    </xf>
    <xf numFmtId="2" fontId="4" fillId="4" borderId="26" xfId="0" applyNumberFormat="1" applyFont="1" applyFill="1" applyBorder="1" applyProtection="1">
      <protection locked="0"/>
    </xf>
    <xf numFmtId="0" fontId="3" fillId="0" borderId="0" xfId="0" applyFont="1"/>
    <xf numFmtId="0" fontId="3" fillId="4" borderId="26" xfId="0" applyFont="1" applyFill="1" applyBorder="1" applyProtection="1">
      <protection locked="0"/>
    </xf>
    <xf numFmtId="0" fontId="3" fillId="4" borderId="28" xfId="0" applyFont="1" applyFill="1" applyBorder="1" applyProtection="1">
      <protection locked="0"/>
    </xf>
    <xf numFmtId="0" fontId="3" fillId="0" borderId="26" xfId="0" applyFont="1" applyBorder="1"/>
    <xf numFmtId="0" fontId="3" fillId="0" borderId="39" xfId="0" applyFont="1" applyBorder="1"/>
    <xf numFmtId="0" fontId="3" fillId="0" borderId="27" xfId="0" applyFont="1" applyBorder="1"/>
    <xf numFmtId="0" fontId="2" fillId="15" borderId="0" xfId="0" applyFont="1" applyFill="1"/>
    <xf numFmtId="0" fontId="2" fillId="15" borderId="5" xfId="0" applyFont="1" applyFill="1" applyBorder="1"/>
    <xf numFmtId="0" fontId="1" fillId="15" borderId="0" xfId="0" applyFont="1" applyFill="1" applyAlignment="1">
      <alignment horizontal="center"/>
    </xf>
    <xf numFmtId="0" fontId="61" fillId="0" borderId="36" xfId="1" applyFont="1" applyBorder="1" applyAlignment="1">
      <alignment horizontal="center"/>
    </xf>
    <xf numFmtId="0" fontId="61" fillId="0" borderId="37" xfId="1" applyFont="1" applyBorder="1" applyAlignment="1">
      <alignment horizontal="center"/>
    </xf>
    <xf numFmtId="0" fontId="61" fillId="0" borderId="38" xfId="1" applyFont="1" applyBorder="1" applyAlignment="1">
      <alignment horizontal="center"/>
    </xf>
    <xf numFmtId="0" fontId="62" fillId="0" borderId="24" xfId="0" applyFont="1" applyBorder="1" applyAlignment="1">
      <alignment vertical="center"/>
    </xf>
    <xf numFmtId="0" fontId="40" fillId="5" borderId="1" xfId="0" applyFont="1" applyFill="1" applyBorder="1"/>
    <xf numFmtId="0" fontId="40" fillId="12" borderId="1" xfId="0" applyFont="1" applyFill="1" applyBorder="1"/>
    <xf numFmtId="0" fontId="47" fillId="11" borderId="1" xfId="0" applyFont="1" applyFill="1" applyBorder="1"/>
    <xf numFmtId="0" fontId="47" fillId="16" borderId="1" xfId="0" applyFont="1" applyFill="1" applyBorder="1"/>
    <xf numFmtId="0" fontId="62" fillId="0" borderId="0" xfId="0" applyFont="1"/>
    <xf numFmtId="0" fontId="45" fillId="11" borderId="0" xfId="1" applyFill="1"/>
    <xf numFmtId="0" fontId="62" fillId="0" borderId="22" xfId="0" applyFont="1" applyBorder="1"/>
    <xf numFmtId="0" fontId="62" fillId="0" borderId="23" xfId="0" applyFont="1" applyBorder="1"/>
    <xf numFmtId="0" fontId="62" fillId="0" borderId="24" xfId="0" applyFont="1" applyBorder="1"/>
    <xf numFmtId="0" fontId="46" fillId="0" borderId="18" xfId="1" applyFont="1" applyBorder="1" applyAlignment="1">
      <alignment horizontal="center" vertical="center"/>
    </xf>
    <xf numFmtId="0" fontId="45" fillId="0" borderId="16" xfId="1" applyBorder="1"/>
    <xf numFmtId="0" fontId="45" fillId="0" borderId="34" xfId="1" applyBorder="1"/>
    <xf numFmtId="0" fontId="45" fillId="0" borderId="19" xfId="1" applyBorder="1"/>
    <xf numFmtId="0" fontId="45" fillId="0" borderId="0" xfId="1"/>
    <xf numFmtId="0" fontId="45" fillId="0" borderId="35" xfId="1" applyBorder="1"/>
    <xf numFmtId="0" fontId="61" fillId="0" borderId="19" xfId="1" applyFont="1" applyBorder="1" applyAlignment="1">
      <alignment horizontal="center"/>
    </xf>
    <xf numFmtId="0" fontId="61" fillId="0" borderId="0" xfId="1" applyFont="1" applyAlignment="1">
      <alignment horizontal="center"/>
    </xf>
    <xf numFmtId="0" fontId="61" fillId="0" borderId="35" xfId="1" applyFont="1" applyBorder="1" applyAlignment="1">
      <alignment horizontal="center"/>
    </xf>
    <xf numFmtId="0" fontId="45" fillId="0" borderId="0" xfId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3" xfId="0" applyFont="1" applyBorder="1" applyAlignment="1">
      <alignment horizontal="center"/>
    </xf>
    <xf numFmtId="0" fontId="55" fillId="0" borderId="4" xfId="0" applyFont="1" applyBorder="1" applyAlignment="1">
      <alignment horizontal="center"/>
    </xf>
    <xf numFmtId="0" fontId="55" fillId="15" borderId="2" xfId="0" applyFont="1" applyFill="1" applyBorder="1" applyAlignment="1">
      <alignment horizontal="center"/>
    </xf>
    <xf numFmtId="0" fontId="55" fillId="15" borderId="3" xfId="0" applyFont="1" applyFill="1" applyBorder="1" applyAlignment="1">
      <alignment horizontal="center"/>
    </xf>
    <xf numFmtId="0" fontId="55" fillId="15" borderId="4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31">
    <dxf>
      <font>
        <strike val="0"/>
        <color theme="1"/>
      </font>
    </dxf>
    <dxf>
      <font>
        <strike val="0"/>
        <color rgb="FF0000FF"/>
      </font>
    </dxf>
    <dxf>
      <font>
        <strike val="0"/>
        <color rgb="FF7030A0"/>
      </font>
    </dxf>
    <dxf>
      <font>
        <strike val="0"/>
        <color rgb="FFFF000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1"/>
      </font>
    </dxf>
    <dxf>
      <font>
        <strike val="0"/>
        <color rgb="FF0000FF"/>
      </font>
    </dxf>
    <dxf>
      <font>
        <strike val="0"/>
        <color rgb="FF7030A0"/>
      </font>
    </dxf>
    <dxf>
      <font>
        <strike val="0"/>
        <color rgb="FFFF0000"/>
      </font>
    </dxf>
    <dxf>
      <font>
        <strike val="0"/>
        <color theme="1"/>
      </font>
    </dxf>
    <dxf>
      <font>
        <strike val="0"/>
        <color rgb="FF0000FF"/>
      </font>
    </dxf>
    <dxf>
      <font>
        <strike val="0"/>
        <color rgb="FF7030A0"/>
      </font>
    </dxf>
    <dxf>
      <font>
        <strike val="0"/>
        <color rgb="FFFF000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1"/>
      </font>
    </dxf>
    <dxf>
      <font>
        <strike val="0"/>
        <color rgb="FF0000FF"/>
      </font>
    </dxf>
    <dxf>
      <font>
        <strike val="0"/>
        <color rgb="FF7030A0"/>
      </font>
    </dxf>
    <dxf>
      <font>
        <strike val="0"/>
        <color rgb="FFFF000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1"/>
      </font>
    </dxf>
    <dxf>
      <font>
        <strike val="0"/>
        <color rgb="FF0000FF"/>
      </font>
    </dxf>
    <dxf>
      <font>
        <strike val="0"/>
        <color rgb="FF7030A0"/>
      </font>
    </dxf>
    <dxf>
      <font>
        <strike val="0"/>
        <color rgb="FFFF000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1"/>
      </font>
    </dxf>
    <dxf>
      <font>
        <strike val="0"/>
        <color rgb="FF0000FF"/>
      </font>
    </dxf>
    <dxf>
      <font>
        <strike val="0"/>
        <color rgb="FF7030A0"/>
      </font>
    </dxf>
    <dxf>
      <font>
        <strike val="0"/>
        <color rgb="FFFF0000"/>
      </font>
    </dxf>
  </dxfs>
  <tableStyles count="0" defaultTableStyle="TableStyleMedium2" defaultPivotStyle="PivotStyleLight16"/>
  <colors>
    <mruColors>
      <color rgb="FFCC0000"/>
      <color rgb="FF9BC2E6"/>
      <color rgb="FF66FFFF"/>
      <color rgb="FFFFFF99"/>
      <color rgb="FFFF5050"/>
      <color rgb="FFFFCC99"/>
      <color rgb="FF990000"/>
      <color rgb="FF99FF99"/>
      <color rgb="FFFF99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-bonneson\My%20Documents\My%20Pictures\Band%20graph%20V%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Analysis"/>
      <sheetName val="Temp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1:M77"/>
  <sheetViews>
    <sheetView showGridLines="0" tabSelected="1" zoomScaleNormal="100" zoomScaleSheetLayoutView="100" workbookViewId="0"/>
  </sheetViews>
  <sheetFormatPr defaultRowHeight="12.75" x14ac:dyDescent="0.2"/>
  <cols>
    <col min="1" max="1" width="3.5703125" style="11" customWidth="1"/>
    <col min="2" max="13" width="8.85546875" style="11"/>
    <col min="14" max="14" width="3.5703125" style="11" customWidth="1"/>
    <col min="15" max="256" width="8.85546875" style="11"/>
    <col min="257" max="257" width="3.5703125" style="11" customWidth="1"/>
    <col min="258" max="512" width="8.85546875" style="11"/>
    <col min="513" max="513" width="3.5703125" style="11" customWidth="1"/>
    <col min="514" max="768" width="8.85546875" style="11"/>
    <col min="769" max="769" width="3.5703125" style="11" customWidth="1"/>
    <col min="770" max="1024" width="8.85546875" style="11"/>
    <col min="1025" max="1025" width="3.5703125" style="11" customWidth="1"/>
    <col min="1026" max="1280" width="8.85546875" style="11"/>
    <col min="1281" max="1281" width="3.5703125" style="11" customWidth="1"/>
    <col min="1282" max="1536" width="8.85546875" style="11"/>
    <col min="1537" max="1537" width="3.5703125" style="11" customWidth="1"/>
    <col min="1538" max="1792" width="8.85546875" style="11"/>
    <col min="1793" max="1793" width="3.5703125" style="11" customWidth="1"/>
    <col min="1794" max="2048" width="8.85546875" style="11"/>
    <col min="2049" max="2049" width="3.5703125" style="11" customWidth="1"/>
    <col min="2050" max="2304" width="8.85546875" style="11"/>
    <col min="2305" max="2305" width="3.5703125" style="11" customWidth="1"/>
    <col min="2306" max="2560" width="8.85546875" style="11"/>
    <col min="2561" max="2561" width="3.5703125" style="11" customWidth="1"/>
    <col min="2562" max="2816" width="8.85546875" style="11"/>
    <col min="2817" max="2817" width="3.5703125" style="11" customWidth="1"/>
    <col min="2818" max="3072" width="8.85546875" style="11"/>
    <col min="3073" max="3073" width="3.5703125" style="11" customWidth="1"/>
    <col min="3074" max="3328" width="8.85546875" style="11"/>
    <col min="3329" max="3329" width="3.5703125" style="11" customWidth="1"/>
    <col min="3330" max="3584" width="8.85546875" style="11"/>
    <col min="3585" max="3585" width="3.5703125" style="11" customWidth="1"/>
    <col min="3586" max="3840" width="8.85546875" style="11"/>
    <col min="3841" max="3841" width="3.5703125" style="11" customWidth="1"/>
    <col min="3842" max="4096" width="8.85546875" style="11"/>
    <col min="4097" max="4097" width="3.5703125" style="11" customWidth="1"/>
    <col min="4098" max="4352" width="8.85546875" style="11"/>
    <col min="4353" max="4353" width="3.5703125" style="11" customWidth="1"/>
    <col min="4354" max="4608" width="8.85546875" style="11"/>
    <col min="4609" max="4609" width="3.5703125" style="11" customWidth="1"/>
    <col min="4610" max="4864" width="8.85546875" style="11"/>
    <col min="4865" max="4865" width="3.5703125" style="11" customWidth="1"/>
    <col min="4866" max="5120" width="8.85546875" style="11"/>
    <col min="5121" max="5121" width="3.5703125" style="11" customWidth="1"/>
    <col min="5122" max="5376" width="8.85546875" style="11"/>
    <col min="5377" max="5377" width="3.5703125" style="11" customWidth="1"/>
    <col min="5378" max="5632" width="8.85546875" style="11"/>
    <col min="5633" max="5633" width="3.5703125" style="11" customWidth="1"/>
    <col min="5634" max="5888" width="8.85546875" style="11"/>
    <col min="5889" max="5889" width="3.5703125" style="11" customWidth="1"/>
    <col min="5890" max="6144" width="8.85546875" style="11"/>
    <col min="6145" max="6145" width="3.5703125" style="11" customWidth="1"/>
    <col min="6146" max="6400" width="8.85546875" style="11"/>
    <col min="6401" max="6401" width="3.5703125" style="11" customWidth="1"/>
    <col min="6402" max="6656" width="8.85546875" style="11"/>
    <col min="6657" max="6657" width="3.5703125" style="11" customWidth="1"/>
    <col min="6658" max="6912" width="8.85546875" style="11"/>
    <col min="6913" max="6913" width="3.5703125" style="11" customWidth="1"/>
    <col min="6914" max="7168" width="8.85546875" style="11"/>
    <col min="7169" max="7169" width="3.5703125" style="11" customWidth="1"/>
    <col min="7170" max="7424" width="8.85546875" style="11"/>
    <col min="7425" max="7425" width="3.5703125" style="11" customWidth="1"/>
    <col min="7426" max="7680" width="8.85546875" style="11"/>
    <col min="7681" max="7681" width="3.5703125" style="11" customWidth="1"/>
    <col min="7682" max="7936" width="8.85546875" style="11"/>
    <col min="7937" max="7937" width="3.5703125" style="11" customWidth="1"/>
    <col min="7938" max="8192" width="8.85546875" style="11"/>
    <col min="8193" max="8193" width="3.5703125" style="11" customWidth="1"/>
    <col min="8194" max="8448" width="8.85546875" style="11"/>
    <col min="8449" max="8449" width="3.5703125" style="11" customWidth="1"/>
    <col min="8450" max="8704" width="8.85546875" style="11"/>
    <col min="8705" max="8705" width="3.5703125" style="11" customWidth="1"/>
    <col min="8706" max="8960" width="8.85546875" style="11"/>
    <col min="8961" max="8961" width="3.5703125" style="11" customWidth="1"/>
    <col min="8962" max="9216" width="8.85546875" style="11"/>
    <col min="9217" max="9217" width="3.5703125" style="11" customWidth="1"/>
    <col min="9218" max="9472" width="8.85546875" style="11"/>
    <col min="9473" max="9473" width="3.5703125" style="11" customWidth="1"/>
    <col min="9474" max="9728" width="8.85546875" style="11"/>
    <col min="9729" max="9729" width="3.5703125" style="11" customWidth="1"/>
    <col min="9730" max="9984" width="8.85546875" style="11"/>
    <col min="9985" max="9985" width="3.5703125" style="11" customWidth="1"/>
    <col min="9986" max="10240" width="8.85546875" style="11"/>
    <col min="10241" max="10241" width="3.5703125" style="11" customWidth="1"/>
    <col min="10242" max="10496" width="8.85546875" style="11"/>
    <col min="10497" max="10497" width="3.5703125" style="11" customWidth="1"/>
    <col min="10498" max="10752" width="8.85546875" style="11"/>
    <col min="10753" max="10753" width="3.5703125" style="11" customWidth="1"/>
    <col min="10754" max="11008" width="8.85546875" style="11"/>
    <col min="11009" max="11009" width="3.5703125" style="11" customWidth="1"/>
    <col min="11010" max="11264" width="8.85546875" style="11"/>
    <col min="11265" max="11265" width="3.5703125" style="11" customWidth="1"/>
    <col min="11266" max="11520" width="8.85546875" style="11"/>
    <col min="11521" max="11521" width="3.5703125" style="11" customWidth="1"/>
    <col min="11522" max="11776" width="8.85546875" style="11"/>
    <col min="11777" max="11777" width="3.5703125" style="11" customWidth="1"/>
    <col min="11778" max="12032" width="8.85546875" style="11"/>
    <col min="12033" max="12033" width="3.5703125" style="11" customWidth="1"/>
    <col min="12034" max="12288" width="8.85546875" style="11"/>
    <col min="12289" max="12289" width="3.5703125" style="11" customWidth="1"/>
    <col min="12290" max="12544" width="8.85546875" style="11"/>
    <col min="12545" max="12545" width="3.5703125" style="11" customWidth="1"/>
    <col min="12546" max="12800" width="8.85546875" style="11"/>
    <col min="12801" max="12801" width="3.5703125" style="11" customWidth="1"/>
    <col min="12802" max="13056" width="8.85546875" style="11"/>
    <col min="13057" max="13057" width="3.5703125" style="11" customWidth="1"/>
    <col min="13058" max="13312" width="8.85546875" style="11"/>
    <col min="13313" max="13313" width="3.5703125" style="11" customWidth="1"/>
    <col min="13314" max="13568" width="8.85546875" style="11"/>
    <col min="13569" max="13569" width="3.5703125" style="11" customWidth="1"/>
    <col min="13570" max="13824" width="8.85546875" style="11"/>
    <col min="13825" max="13825" width="3.5703125" style="11" customWidth="1"/>
    <col min="13826" max="14080" width="8.85546875" style="11"/>
    <col min="14081" max="14081" width="3.5703125" style="11" customWidth="1"/>
    <col min="14082" max="14336" width="8.85546875" style="11"/>
    <col min="14337" max="14337" width="3.5703125" style="11" customWidth="1"/>
    <col min="14338" max="14592" width="8.85546875" style="11"/>
    <col min="14593" max="14593" width="3.5703125" style="11" customWidth="1"/>
    <col min="14594" max="14848" width="8.85546875" style="11"/>
    <col min="14849" max="14849" width="3.5703125" style="11" customWidth="1"/>
    <col min="14850" max="15104" width="8.85546875" style="11"/>
    <col min="15105" max="15105" width="3.5703125" style="11" customWidth="1"/>
    <col min="15106" max="15360" width="8.85546875" style="11"/>
    <col min="15361" max="15361" width="3.5703125" style="11" customWidth="1"/>
    <col min="15362" max="15616" width="8.85546875" style="11"/>
    <col min="15617" max="15617" width="3.5703125" style="11" customWidth="1"/>
    <col min="15618" max="15872" width="8.85546875" style="11"/>
    <col min="15873" max="15873" width="3.5703125" style="11" customWidth="1"/>
    <col min="15874" max="16128" width="8.85546875" style="11"/>
    <col min="16129" max="16129" width="3.5703125" style="11" customWidth="1"/>
    <col min="16130" max="16384" width="8.85546875" style="11"/>
  </cols>
  <sheetData>
    <row r="1" spans="2:13" ht="13.5" thickBot="1" x14ac:dyDescent="0.25"/>
    <row r="2" spans="2:13" ht="13.5" customHeight="1" thickTop="1" x14ac:dyDescent="0.2">
      <c r="B2" s="309" t="s">
        <v>40</v>
      </c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1"/>
    </row>
    <row r="3" spans="2:13" ht="33.75" customHeight="1" x14ac:dyDescent="0.2">
      <c r="B3" s="312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4"/>
    </row>
    <row r="4" spans="2:13" ht="13.5" customHeight="1" x14ac:dyDescent="0.2">
      <c r="B4" s="312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4"/>
    </row>
    <row r="5" spans="2:13" ht="18" x14ac:dyDescent="0.25">
      <c r="B5" s="315" t="s">
        <v>213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7"/>
    </row>
    <row r="6" spans="2:13" ht="13.15" customHeight="1" thickBot="1" x14ac:dyDescent="0.3">
      <c r="B6" s="296"/>
      <c r="C6" s="297"/>
      <c r="D6" s="297"/>
      <c r="E6" s="297"/>
      <c r="F6" s="297"/>
      <c r="G6" s="297"/>
      <c r="H6" s="297"/>
      <c r="I6" s="297"/>
      <c r="J6" s="297"/>
      <c r="K6" s="297"/>
      <c r="L6" s="297"/>
      <c r="M6" s="298"/>
    </row>
    <row r="7" spans="2:13" ht="13.5" thickTop="1" x14ac:dyDescent="0.2"/>
    <row r="8" spans="2:13" x14ac:dyDescent="0.2">
      <c r="B8" s="318" t="s">
        <v>93</v>
      </c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</row>
    <row r="9" spans="2:13" x14ac:dyDescent="0.2">
      <c r="B9" s="318" t="s">
        <v>210</v>
      </c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</row>
    <row r="10" spans="2:13" x14ac:dyDescent="0.2">
      <c r="B10" s="318" t="s">
        <v>94</v>
      </c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</row>
    <row r="11" spans="2:13" x14ac:dyDescent="0.2">
      <c r="B11" s="318" t="s">
        <v>212</v>
      </c>
      <c r="C11" s="318"/>
      <c r="D11" s="318"/>
      <c r="E11" s="318"/>
      <c r="F11" s="318"/>
      <c r="G11" s="318"/>
      <c r="H11" s="318"/>
      <c r="I11" s="318"/>
      <c r="J11" s="318"/>
      <c r="K11" s="318"/>
      <c r="L11" s="318"/>
      <c r="M11" s="318"/>
    </row>
    <row r="12" spans="2:13" x14ac:dyDescent="0.2">
      <c r="B12" s="12" t="s">
        <v>77</v>
      </c>
    </row>
    <row r="13" spans="2:13" x14ac:dyDescent="0.2">
      <c r="B13" s="11" t="s">
        <v>95</v>
      </c>
    </row>
    <row r="14" spans="2:13" x14ac:dyDescent="0.2">
      <c r="B14" s="11" t="s">
        <v>96</v>
      </c>
    </row>
    <row r="16" spans="2:13" x14ac:dyDescent="0.2">
      <c r="B16" s="11" t="s">
        <v>125</v>
      </c>
    </row>
    <row r="17" spans="2:3" x14ac:dyDescent="0.2">
      <c r="B17" s="11" t="s">
        <v>90</v>
      </c>
    </row>
    <row r="19" spans="2:3" x14ac:dyDescent="0.2">
      <c r="C19" s="11" t="s">
        <v>202</v>
      </c>
    </row>
    <row r="20" spans="2:3" x14ac:dyDescent="0.2">
      <c r="C20" s="280" t="s">
        <v>203</v>
      </c>
    </row>
    <row r="21" spans="2:3" x14ac:dyDescent="0.2">
      <c r="C21" s="11" t="s">
        <v>204</v>
      </c>
    </row>
    <row r="23" spans="2:3" x14ac:dyDescent="0.2">
      <c r="B23" s="11" t="s">
        <v>126</v>
      </c>
    </row>
    <row r="24" spans="2:3" x14ac:dyDescent="0.2">
      <c r="B24" s="11" t="s">
        <v>89</v>
      </c>
    </row>
    <row r="26" spans="2:3" x14ac:dyDescent="0.2">
      <c r="B26" s="12" t="s">
        <v>78</v>
      </c>
    </row>
    <row r="27" spans="2:3" x14ac:dyDescent="0.2">
      <c r="B27" s="11" t="s">
        <v>154</v>
      </c>
    </row>
    <row r="28" spans="2:3" x14ac:dyDescent="0.2">
      <c r="C28" s="11" t="s">
        <v>141</v>
      </c>
    </row>
    <row r="29" spans="2:3" x14ac:dyDescent="0.2">
      <c r="C29" s="11" t="s">
        <v>185</v>
      </c>
    </row>
    <row r="30" spans="2:3" x14ac:dyDescent="0.2">
      <c r="C30" s="11" t="s">
        <v>146</v>
      </c>
    </row>
    <row r="31" spans="2:3" x14ac:dyDescent="0.2">
      <c r="C31" s="11" t="s">
        <v>145</v>
      </c>
    </row>
    <row r="32" spans="2:3" x14ac:dyDescent="0.2">
      <c r="C32" s="11" t="s">
        <v>147</v>
      </c>
    </row>
    <row r="33" spans="2:5" x14ac:dyDescent="0.2">
      <c r="D33" s="144" t="s">
        <v>194</v>
      </c>
      <c r="E33" s="144"/>
    </row>
    <row r="34" spans="2:5" x14ac:dyDescent="0.2">
      <c r="D34" s="305" t="s">
        <v>143</v>
      </c>
      <c r="E34" s="305"/>
    </row>
    <row r="35" spans="2:5" x14ac:dyDescent="0.2">
      <c r="D35" s="145" t="s">
        <v>144</v>
      </c>
      <c r="E35" s="145"/>
    </row>
    <row r="36" spans="2:5" x14ac:dyDescent="0.2">
      <c r="D36" s="146" t="s">
        <v>195</v>
      </c>
      <c r="E36" s="146"/>
    </row>
    <row r="37" spans="2:5" x14ac:dyDescent="0.2">
      <c r="C37" s="11" t="s">
        <v>142</v>
      </c>
    </row>
    <row r="38" spans="2:5" x14ac:dyDescent="0.2">
      <c r="C38" s="11" t="s">
        <v>155</v>
      </c>
    </row>
    <row r="40" spans="2:5" x14ac:dyDescent="0.2">
      <c r="B40" s="12" t="s">
        <v>170</v>
      </c>
    </row>
    <row r="41" spans="2:5" x14ac:dyDescent="0.2">
      <c r="B41" s="11" t="s">
        <v>186</v>
      </c>
    </row>
    <row r="42" spans="2:5" x14ac:dyDescent="0.2">
      <c r="B42" s="11" t="s">
        <v>188</v>
      </c>
    </row>
    <row r="43" spans="2:5" x14ac:dyDescent="0.2">
      <c r="B43" s="11" t="s">
        <v>187</v>
      </c>
    </row>
    <row r="45" spans="2:5" x14ac:dyDescent="0.2">
      <c r="B45" s="12" t="s">
        <v>137</v>
      </c>
    </row>
    <row r="46" spans="2:5" x14ac:dyDescent="0.2">
      <c r="B46" s="11" t="s">
        <v>138</v>
      </c>
    </row>
    <row r="47" spans="2:5" x14ac:dyDescent="0.2">
      <c r="B47" s="11" t="s">
        <v>139</v>
      </c>
    </row>
    <row r="48" spans="2:5" x14ac:dyDescent="0.2">
      <c r="B48" s="11" t="s">
        <v>149</v>
      </c>
    </row>
    <row r="49" spans="2:3" x14ac:dyDescent="0.2">
      <c r="B49" s="11" t="s">
        <v>190</v>
      </c>
    </row>
    <row r="50" spans="2:3" x14ac:dyDescent="0.2">
      <c r="B50" s="11" t="s">
        <v>189</v>
      </c>
    </row>
    <row r="51" spans="2:3" x14ac:dyDescent="0.2">
      <c r="B51" s="11" t="s">
        <v>150</v>
      </c>
    </row>
    <row r="53" spans="2:3" x14ac:dyDescent="0.2">
      <c r="B53" s="12" t="s">
        <v>120</v>
      </c>
    </row>
    <row r="54" spans="2:3" x14ac:dyDescent="0.2">
      <c r="B54" s="11" t="s">
        <v>140</v>
      </c>
    </row>
    <row r="55" spans="2:3" x14ac:dyDescent="0.2">
      <c r="B55" s="12"/>
      <c r="C55" s="11" t="s">
        <v>114</v>
      </c>
    </row>
    <row r="56" spans="2:3" x14ac:dyDescent="0.2">
      <c r="C56" s="11" t="s">
        <v>119</v>
      </c>
    </row>
    <row r="57" spans="2:3" x14ac:dyDescent="0.2">
      <c r="C57" s="11" t="s">
        <v>209</v>
      </c>
    </row>
    <row r="58" spans="2:3" x14ac:dyDescent="0.2">
      <c r="C58" s="11" t="s">
        <v>116</v>
      </c>
    </row>
    <row r="59" spans="2:3" x14ac:dyDescent="0.2">
      <c r="B59" s="11" t="s">
        <v>106</v>
      </c>
    </row>
    <row r="60" spans="2:3" x14ac:dyDescent="0.2">
      <c r="B60" s="11" t="s">
        <v>107</v>
      </c>
    </row>
    <row r="62" spans="2:3" x14ac:dyDescent="0.2">
      <c r="B62" s="12" t="s">
        <v>156</v>
      </c>
    </row>
    <row r="63" spans="2:3" x14ac:dyDescent="0.2">
      <c r="B63" s="11" t="s">
        <v>157</v>
      </c>
    </row>
    <row r="64" spans="2:3" x14ac:dyDescent="0.2">
      <c r="B64" s="11" t="s">
        <v>198</v>
      </c>
    </row>
    <row r="65" spans="2:2" x14ac:dyDescent="0.2">
      <c r="B65" s="11" t="s">
        <v>199</v>
      </c>
    </row>
    <row r="67" spans="2:2" x14ac:dyDescent="0.2">
      <c r="B67" s="12" t="s">
        <v>79</v>
      </c>
    </row>
    <row r="68" spans="2:2" x14ac:dyDescent="0.2">
      <c r="B68" s="11" t="s">
        <v>191</v>
      </c>
    </row>
    <row r="69" spans="2:2" x14ac:dyDescent="0.2">
      <c r="B69" s="11" t="s">
        <v>193</v>
      </c>
    </row>
    <row r="70" spans="2:2" x14ac:dyDescent="0.2">
      <c r="B70" s="11" t="s">
        <v>192</v>
      </c>
    </row>
    <row r="72" spans="2:2" x14ac:dyDescent="0.2">
      <c r="B72" s="12" t="s">
        <v>201</v>
      </c>
    </row>
    <row r="73" spans="2:2" x14ac:dyDescent="0.2">
      <c r="B73" s="11" t="s">
        <v>91</v>
      </c>
    </row>
    <row r="74" spans="2:2" x14ac:dyDescent="0.2">
      <c r="B74" s="11" t="s">
        <v>92</v>
      </c>
    </row>
    <row r="75" spans="2:2" x14ac:dyDescent="0.2">
      <c r="B75" s="11" t="s">
        <v>103</v>
      </c>
    </row>
    <row r="76" spans="2:2" x14ac:dyDescent="0.2">
      <c r="B76" s="11" t="s">
        <v>104</v>
      </c>
    </row>
    <row r="77" spans="2:2" x14ac:dyDescent="0.2">
      <c r="B77" s="11" t="s">
        <v>97</v>
      </c>
    </row>
  </sheetData>
  <sheetProtection algorithmName="SHA-512" hashValue="vMWAnSn6TeB7+FPROy1L5zVO9Q7P5UiJb5yBhufoAZwm1c7i4eYpG3ZMizTfPgv0JWQJkIE8BFDPTSwSgSlrDg==" saltValue="N6rIcdSND/DJh9FodapeXA==" spinCount="100000" sheet="1" objects="1" scenarios="1"/>
  <mergeCells count="6">
    <mergeCell ref="B2:M4"/>
    <mergeCell ref="B5:M5"/>
    <mergeCell ref="B8:M8"/>
    <mergeCell ref="B11:M11"/>
    <mergeCell ref="B10:M10"/>
    <mergeCell ref="B9:M9"/>
  </mergeCells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AD10"/>
  <sheetViews>
    <sheetView showGridLines="0" zoomScaleNormal="100" workbookViewId="0">
      <pane ySplit="3" topLeftCell="A4" activePane="bottomLeft" state="frozen"/>
      <selection pane="bottomLeft" activeCell="D9" sqref="D9"/>
    </sheetView>
  </sheetViews>
  <sheetFormatPr defaultColWidth="9.140625" defaultRowHeight="12.75" x14ac:dyDescent="0.2"/>
  <cols>
    <col min="1" max="1" width="1.140625" style="3" customWidth="1"/>
    <col min="2" max="2" width="25.7109375" style="3" bestFit="1" customWidth="1"/>
    <col min="3" max="4" width="22.85546875" style="3" customWidth="1"/>
    <col min="5" max="5" width="3.7109375" style="3" customWidth="1"/>
    <col min="6" max="6" width="87.28515625" style="3" customWidth="1"/>
    <col min="7" max="7" width="1.28515625" style="3" customWidth="1"/>
    <col min="8" max="24" width="9.140625" style="3" customWidth="1"/>
    <col min="25" max="25" width="9.140625" style="3"/>
    <col min="26" max="26" width="10" style="3" bestFit="1" customWidth="1"/>
    <col min="27" max="27" width="10" style="114" customWidth="1"/>
    <col min="28" max="29" width="9.140625" style="114"/>
    <col min="30" max="30" width="9.140625" style="114" customWidth="1"/>
    <col min="31" max="31" width="9.140625" style="3" customWidth="1"/>
    <col min="32" max="32" width="14.42578125" style="3" customWidth="1"/>
    <col min="33" max="37" width="13.7109375" style="3" customWidth="1"/>
    <col min="38" max="39" width="9.140625" style="3" customWidth="1"/>
    <col min="40" max="16384" width="9.140625" style="3"/>
  </cols>
  <sheetData>
    <row r="1" spans="1:30" ht="6" customHeight="1" thickTop="1" thickBot="1" x14ac:dyDescent="0.25">
      <c r="A1" s="67"/>
      <c r="B1" s="68"/>
      <c r="C1" s="68"/>
      <c r="D1" s="68"/>
      <c r="E1" s="68"/>
      <c r="F1" s="68"/>
      <c r="G1" s="69"/>
    </row>
    <row r="2" spans="1:30" ht="13.5" thickBot="1" x14ac:dyDescent="0.25">
      <c r="A2" s="70"/>
      <c r="B2" s="149" t="s">
        <v>214</v>
      </c>
      <c r="C2" s="150"/>
      <c r="D2" s="150"/>
      <c r="E2" s="150"/>
      <c r="F2" s="151"/>
      <c r="G2" s="71"/>
      <c r="T2" s="319" t="s">
        <v>124</v>
      </c>
      <c r="U2" s="320"/>
      <c r="V2" s="320"/>
      <c r="W2" s="320"/>
      <c r="X2" s="320"/>
      <c r="Y2" s="320"/>
      <c r="Z2" s="320"/>
      <c r="AA2" s="320"/>
      <c r="AB2" s="320"/>
      <c r="AC2" s="320"/>
      <c r="AD2" s="321"/>
    </row>
    <row r="3" spans="1:30" ht="13.15" customHeight="1" thickBot="1" x14ac:dyDescent="0.25">
      <c r="A3" s="70"/>
      <c r="B3" s="157" t="s">
        <v>180</v>
      </c>
      <c r="C3" s="157" t="s">
        <v>14</v>
      </c>
      <c r="D3" s="157" t="s">
        <v>181</v>
      </c>
      <c r="G3" s="71"/>
      <c r="T3" s="72"/>
      <c r="X3" s="73"/>
      <c r="AD3" s="115"/>
    </row>
    <row r="4" spans="1:30" x14ac:dyDescent="0.2">
      <c r="A4" s="70"/>
      <c r="B4" s="74" t="s">
        <v>28</v>
      </c>
      <c r="C4" s="75"/>
      <c r="D4" s="75"/>
      <c r="E4" s="76"/>
      <c r="F4" s="93" t="s">
        <v>68</v>
      </c>
      <c r="G4" s="71"/>
      <c r="T4" s="78" t="s">
        <v>123</v>
      </c>
      <c r="U4" s="79"/>
      <c r="V4" s="79"/>
      <c r="W4" s="73"/>
      <c r="X4" s="137" t="s">
        <v>135</v>
      </c>
      <c r="Y4" s="3" t="s">
        <v>35</v>
      </c>
      <c r="Z4" s="3" t="s">
        <v>39</v>
      </c>
      <c r="AA4" s="114" t="s">
        <v>76</v>
      </c>
      <c r="AB4" s="114" t="s">
        <v>36</v>
      </c>
      <c r="AC4" s="114" t="s">
        <v>37</v>
      </c>
      <c r="AD4" s="115" t="s">
        <v>65</v>
      </c>
    </row>
    <row r="5" spans="1:30" x14ac:dyDescent="0.2">
      <c r="A5" s="70"/>
      <c r="B5" s="58"/>
      <c r="C5" s="237" t="s">
        <v>51</v>
      </c>
      <c r="D5" s="80"/>
      <c r="E5" s="81" t="str">
        <f>IF(LEN(B5)&gt;0,"","O")</f>
        <v>O</v>
      </c>
      <c r="F5" s="130" t="s">
        <v>73</v>
      </c>
      <c r="G5" s="71"/>
      <c r="H5" s="83"/>
      <c r="T5" s="72" t="str">
        <f>'Support Tables'!C12</f>
        <v>Rural</v>
      </c>
      <c r="U5" s="3" t="str">
        <f>'Support Tables'!D12</f>
        <v>Rural town</v>
      </c>
      <c r="V5" s="3" t="str">
        <f>'Support Tables'!E12</f>
        <v>Suburban</v>
      </c>
      <c r="W5" s="3" t="str">
        <f>'Support Tables'!F12</f>
        <v>Urban</v>
      </c>
      <c r="X5" s="73" t="str">
        <f>'Support Tables'!G12</f>
        <v>Urban core</v>
      </c>
      <c r="AD5" s="115"/>
    </row>
    <row r="6" spans="1:30" ht="13.5" thickBot="1" x14ac:dyDescent="0.25">
      <c r="A6" s="70"/>
      <c r="B6" s="128"/>
      <c r="C6" s="238" t="s">
        <v>50</v>
      </c>
      <c r="D6" s="129"/>
      <c r="E6" s="99" t="str">
        <f>IF(LEN(B6)&gt;0,"","O")</f>
        <v>O</v>
      </c>
      <c r="F6" s="131" t="s">
        <v>75</v>
      </c>
      <c r="G6" s="71"/>
      <c r="H6" s="83"/>
      <c r="T6" s="85" t="str">
        <f t="array" ref="T6:X6">TRANSPOSE('Support Tables'!B13:B17)</f>
        <v>Freeway</v>
      </c>
      <c r="U6" s="79" t="str">
        <v>Principal arterial</v>
      </c>
      <c r="V6" s="79" t="str">
        <v>Minor arterial</v>
      </c>
      <c r="W6" s="73" t="str">
        <v>Collector</v>
      </c>
      <c r="X6" s="73" t="str">
        <v>Local</v>
      </c>
      <c r="AD6" s="115"/>
    </row>
    <row r="7" spans="1:30" ht="13.15" customHeight="1" thickBot="1" x14ac:dyDescent="0.25">
      <c r="A7" s="70"/>
      <c r="B7" s="92"/>
      <c r="C7" s="4"/>
      <c r="D7" s="4"/>
      <c r="E7" s="88"/>
      <c r="F7" s="4"/>
      <c r="G7" s="71"/>
      <c r="T7" s="72"/>
      <c r="AD7" s="115"/>
    </row>
    <row r="8" spans="1:30" x14ac:dyDescent="0.2">
      <c r="A8" s="70"/>
      <c r="B8" s="74" t="s">
        <v>74</v>
      </c>
      <c r="C8" s="104"/>
      <c r="D8" s="75"/>
      <c r="E8" s="76"/>
      <c r="F8" s="93" t="s">
        <v>215</v>
      </c>
      <c r="G8" s="71"/>
      <c r="T8" s="72"/>
      <c r="AD8" s="117"/>
    </row>
    <row r="9" spans="1:30" ht="32.450000000000003" customHeight="1" thickBot="1" x14ac:dyDescent="0.25">
      <c r="A9" s="70"/>
      <c r="B9" s="159"/>
      <c r="C9" s="160" t="s">
        <v>117</v>
      </c>
      <c r="D9" s="158" t="str">
        <f>IF(AND(LEN(B5)&gt;0,LEN(B6)&gt;0),HLOOKUP(B5,'Support Tables'!B12:G17,MATCH(B6,'Support Tables'!B12:B17,0),FALSE),"")</f>
        <v/>
      </c>
      <c r="E9" s="135"/>
      <c r="F9" s="299" t="str">
        <f>IF(Z9&gt;0,"Specify roadway context and roadway type in cells B5 and B6.", "The user needs to go to the " &amp; D9 &amp; " worksheet to complete the analysis.")</f>
        <v>Specify roadway context and roadway type in cells B5 and B6.</v>
      </c>
      <c r="G9" s="71"/>
      <c r="H9" s="83"/>
      <c r="T9" s="102"/>
      <c r="U9" s="132"/>
      <c r="V9" s="132"/>
      <c r="W9" s="133"/>
      <c r="X9" s="91" t="str">
        <f>IF(Z9&gt;0,"W","A")</f>
        <v>W</v>
      </c>
      <c r="Y9" s="116"/>
      <c r="Z9" s="116">
        <f>COUNTIF(E5:E6,"O")</f>
        <v>2</v>
      </c>
      <c r="AA9" s="116"/>
      <c r="AB9" s="116"/>
      <c r="AC9" s="116"/>
      <c r="AD9" s="134"/>
    </row>
    <row r="10" spans="1:30" ht="6" customHeight="1" thickBot="1" x14ac:dyDescent="0.25">
      <c r="A10" s="108"/>
      <c r="B10" s="109"/>
      <c r="C10" s="109"/>
      <c r="D10" s="109"/>
      <c r="E10" s="109"/>
      <c r="F10" s="109"/>
      <c r="G10" s="110"/>
    </row>
  </sheetData>
  <sheetProtection algorithmName="SHA-512" hashValue="9oeziqTi7H0BKYRfJEeIdES6So7rXJaXInpF0jl6gBfEpYmvVDzPXb1v8H+x5CpwhTA1s+7Q8IZvUpNErgo9mQ==" saltValue="1DbYB5UbUYLRAmXi9A6z7w==" spinCount="100000" sheet="1" formatCells="0" formatColumns="0" formatRows="0"/>
  <mergeCells count="1">
    <mergeCell ref="T2:AD2"/>
  </mergeCells>
  <conditionalFormatting sqref="F9">
    <cfRule type="expression" dxfId="30" priority="1">
      <formula>X9="W"</formula>
    </cfRule>
    <cfRule type="expression" dxfId="29" priority="2">
      <formula>X9="C"</formula>
    </cfRule>
    <cfRule type="expression" dxfId="28" priority="3">
      <formula>X9="A"</formula>
    </cfRule>
    <cfRule type="expression" dxfId="27" priority="4">
      <formula>X9="X"</formula>
    </cfRule>
  </conditionalFormatting>
  <dataValidations count="2">
    <dataValidation type="list" allowBlank="1" showInputMessage="1" showErrorMessage="1" error="Invalid value.  Please select from the recommended options." sqref="B5" xr:uid="{00000000-0002-0000-0100-000000000000}">
      <formula1>$T$5:$X$5</formula1>
    </dataValidation>
    <dataValidation type="list" allowBlank="1" showInputMessage="1" showErrorMessage="1" error="Invalid value.  Please select from the recommended options." sqref="B6" xr:uid="{00000000-0002-0000-0100-000001000000}">
      <formula1>$T$6:$X$6</formula1>
    </dataValidation>
  </dataValidations>
  <pageMargins left="0.7" right="0.7" top="0.75" bottom="0.75" header="0.3" footer="0.3"/>
  <pageSetup orientation="portrait" horizontalDpi="4294967293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59999389629810485"/>
  </sheetPr>
  <dimension ref="A1:AD46"/>
  <sheetViews>
    <sheetView showGridLines="0" zoomScaleNormal="100" workbookViewId="0">
      <pane ySplit="3" topLeftCell="A4" activePane="bottomLeft" state="frozen"/>
      <selection pane="bottomLeft" activeCell="D16" sqref="D16"/>
    </sheetView>
  </sheetViews>
  <sheetFormatPr defaultColWidth="9.140625" defaultRowHeight="12.75" x14ac:dyDescent="0.2"/>
  <cols>
    <col min="1" max="1" width="1.140625" style="3" customWidth="1"/>
    <col min="2" max="2" width="25.7109375" style="3" bestFit="1" customWidth="1"/>
    <col min="3" max="3" width="31.42578125" style="3" customWidth="1"/>
    <col min="4" max="4" width="14.28515625" style="3" customWidth="1"/>
    <col min="5" max="5" width="3.7109375" style="3" customWidth="1"/>
    <col min="6" max="6" width="87.28515625" style="3" customWidth="1"/>
    <col min="7" max="7" width="1.28515625" style="3" customWidth="1"/>
    <col min="8" max="24" width="9.140625" style="3" customWidth="1"/>
    <col min="25" max="25" width="9.140625" style="3"/>
    <col min="26" max="26" width="10" style="3" bestFit="1" customWidth="1"/>
    <col min="27" max="27" width="10" style="114" customWidth="1"/>
    <col min="28" max="29" width="9.140625" style="114"/>
    <col min="30" max="30" width="9.140625" style="114" customWidth="1"/>
    <col min="31" max="31" width="9.140625" style="3" customWidth="1"/>
    <col min="32" max="32" width="14.42578125" style="3" customWidth="1"/>
    <col min="33" max="37" width="13.7109375" style="3" customWidth="1"/>
    <col min="38" max="39" width="9.140625" style="3" customWidth="1"/>
    <col min="40" max="16384" width="9.140625" style="3"/>
  </cols>
  <sheetData>
    <row r="1" spans="1:30" ht="6" customHeight="1" thickTop="1" thickBot="1" x14ac:dyDescent="0.25">
      <c r="A1" s="67"/>
      <c r="B1" s="68"/>
      <c r="C1" s="68"/>
      <c r="D1" s="68"/>
      <c r="E1" s="68"/>
      <c r="F1" s="68"/>
      <c r="G1" s="69"/>
    </row>
    <row r="2" spans="1:30" ht="13.5" thickBot="1" x14ac:dyDescent="0.25">
      <c r="A2" s="70"/>
      <c r="B2" s="149" t="s">
        <v>214</v>
      </c>
      <c r="C2" s="150"/>
      <c r="D2" s="150"/>
      <c r="E2" s="150"/>
      <c r="F2" s="151"/>
      <c r="G2" s="71"/>
      <c r="T2" s="322" t="s">
        <v>124</v>
      </c>
      <c r="U2" s="323"/>
      <c r="V2" s="323"/>
      <c r="W2" s="323"/>
      <c r="X2" s="323"/>
      <c r="Y2" s="323"/>
      <c r="Z2" s="323"/>
      <c r="AA2" s="323"/>
      <c r="AB2" s="323"/>
      <c r="AC2" s="323"/>
      <c r="AD2" s="324"/>
    </row>
    <row r="3" spans="1:30" ht="13.15" customHeight="1" thickBot="1" x14ac:dyDescent="0.25">
      <c r="A3" s="70"/>
      <c r="B3" s="157" t="s">
        <v>180</v>
      </c>
      <c r="C3" s="157" t="s">
        <v>14</v>
      </c>
      <c r="D3" s="157" t="s">
        <v>181</v>
      </c>
      <c r="G3" s="71"/>
      <c r="T3" s="174"/>
      <c r="U3" s="175"/>
      <c r="V3" s="175"/>
      <c r="W3" s="175"/>
      <c r="X3" s="176"/>
      <c r="Y3" s="175"/>
      <c r="Z3" s="175"/>
      <c r="AA3" s="177"/>
      <c r="AB3" s="177"/>
      <c r="AC3" s="177"/>
      <c r="AD3" s="178"/>
    </row>
    <row r="4" spans="1:30" x14ac:dyDescent="0.2">
      <c r="A4" s="70"/>
      <c r="B4" s="122" t="s">
        <v>28</v>
      </c>
      <c r="C4" s="75"/>
      <c r="D4" s="75"/>
      <c r="E4" s="76"/>
      <c r="F4" s="77" t="s">
        <v>68</v>
      </c>
      <c r="G4" s="71"/>
      <c r="T4" s="179" t="s">
        <v>123</v>
      </c>
      <c r="U4" s="180"/>
      <c r="V4" s="180"/>
      <c r="W4" s="176"/>
      <c r="X4" s="181" t="s">
        <v>135</v>
      </c>
      <c r="Y4" s="175" t="s">
        <v>35</v>
      </c>
      <c r="Z4" s="175" t="s">
        <v>39</v>
      </c>
      <c r="AA4" s="177" t="s">
        <v>76</v>
      </c>
      <c r="AB4" s="177" t="s">
        <v>36</v>
      </c>
      <c r="AC4" s="177" t="s">
        <v>37</v>
      </c>
      <c r="AD4" s="182" t="s">
        <v>38</v>
      </c>
    </row>
    <row r="5" spans="1:30" x14ac:dyDescent="0.2">
      <c r="A5" s="70"/>
      <c r="B5" s="58"/>
      <c r="C5" s="237" t="s">
        <v>51</v>
      </c>
      <c r="D5" s="80"/>
      <c r="E5" s="81" t="str">
        <f>IF(LEN(B5)&gt;0,"","O")</f>
        <v>O</v>
      </c>
      <c r="F5" s="82" t="s">
        <v>72</v>
      </c>
      <c r="G5" s="71"/>
      <c r="H5" s="83"/>
      <c r="T5" s="174" t="str">
        <f>'Support Tables'!C12</f>
        <v>Rural</v>
      </c>
      <c r="U5" s="175" t="str">
        <f>'Support Tables'!D12</f>
        <v>Rural town</v>
      </c>
      <c r="V5" s="175" t="str">
        <f>'Support Tables'!E12</f>
        <v>Suburban</v>
      </c>
      <c r="W5" s="175" t="str">
        <f>'Support Tables'!F12</f>
        <v>Urban</v>
      </c>
      <c r="X5" s="176" t="str">
        <f>'Support Tables'!G12</f>
        <v>Urban core</v>
      </c>
      <c r="Y5" s="175">
        <f>IF(LEN(B5)&gt;0,MATCH(B5,T5:X5,0),0)</f>
        <v>0</v>
      </c>
      <c r="Z5" s="175" t="str">
        <f>IF(Y5&lt;3,"Rural","Urban")</f>
        <v>Rural</v>
      </c>
      <c r="AA5" s="177"/>
      <c r="AB5" s="177"/>
      <c r="AC5" s="177"/>
      <c r="AD5" s="178"/>
    </row>
    <row r="6" spans="1:30" x14ac:dyDescent="0.2">
      <c r="A6" s="70"/>
      <c r="B6" s="112"/>
      <c r="C6" s="239" t="s">
        <v>67</v>
      </c>
      <c r="D6" s="86"/>
      <c r="E6" s="81" t="str">
        <f>IF(LEN(B6)&gt;0,"","O")</f>
        <v>O</v>
      </c>
      <c r="F6" s="84" t="s">
        <v>73</v>
      </c>
      <c r="G6" s="71"/>
      <c r="H6" s="83"/>
      <c r="T6" s="183" t="s">
        <v>2</v>
      </c>
      <c r="U6" s="184" t="s">
        <v>4</v>
      </c>
      <c r="V6" s="180"/>
      <c r="W6" s="176"/>
      <c r="X6" s="176"/>
      <c r="Y6" s="175">
        <f>IF(LEN(B6)&gt;0,MATCH(B6,T6:U6,0),0)</f>
        <v>0</v>
      </c>
      <c r="Z6" s="175"/>
      <c r="AA6" s="177"/>
      <c r="AB6" s="177"/>
      <c r="AC6" s="177"/>
      <c r="AD6" s="178"/>
    </row>
    <row r="7" spans="1:30" x14ac:dyDescent="0.2">
      <c r="A7" s="70"/>
      <c r="B7" s="143"/>
      <c r="C7" s="240" t="s">
        <v>148</v>
      </c>
      <c r="D7" s="142"/>
      <c r="E7" s="88" t="str">
        <f>""</f>
        <v/>
      </c>
      <c r="F7" s="87" t="s">
        <v>80</v>
      </c>
      <c r="G7" s="71"/>
      <c r="H7" s="83"/>
      <c r="T7" s="174"/>
      <c r="U7" s="175"/>
      <c r="V7" s="175"/>
      <c r="W7" s="175"/>
      <c r="X7" s="175"/>
      <c r="Y7" s="175"/>
      <c r="Z7" s="175"/>
      <c r="AA7" s="177"/>
      <c r="AB7" s="177"/>
      <c r="AC7" s="177"/>
      <c r="AD7" s="178"/>
    </row>
    <row r="8" spans="1:30" x14ac:dyDescent="0.2">
      <c r="A8" s="70"/>
      <c r="B8" s="59"/>
      <c r="C8" s="241" t="s">
        <v>29</v>
      </c>
      <c r="E8" s="88" t="str">
        <f>""</f>
        <v/>
      </c>
      <c r="F8" s="148" t="s">
        <v>174</v>
      </c>
      <c r="G8" s="71"/>
      <c r="H8" s="83"/>
      <c r="T8" s="174"/>
      <c r="U8" s="175"/>
      <c r="V8" s="175"/>
      <c r="W8" s="175"/>
      <c r="X8" s="175"/>
      <c r="Y8" s="175"/>
      <c r="Z8" s="175"/>
      <c r="AA8" s="177"/>
      <c r="AB8" s="177"/>
      <c r="AC8" s="177"/>
      <c r="AD8" s="178"/>
    </row>
    <row r="9" spans="1:30" x14ac:dyDescent="0.2">
      <c r="A9" s="70"/>
      <c r="B9" s="143"/>
      <c r="C9" s="242" t="s">
        <v>41</v>
      </c>
      <c r="D9" s="4"/>
      <c r="E9" s="88" t="str">
        <f>""</f>
        <v/>
      </c>
      <c r="F9" s="147" t="s">
        <v>173</v>
      </c>
      <c r="G9" s="71"/>
      <c r="H9" s="83"/>
      <c r="T9" s="174"/>
      <c r="U9" s="175"/>
      <c r="V9" s="175"/>
      <c r="W9" s="175"/>
      <c r="X9" s="175"/>
      <c r="Y9" s="175"/>
      <c r="Z9" s="175"/>
      <c r="AA9" s="177"/>
      <c r="AB9" s="177"/>
      <c r="AC9" s="177"/>
      <c r="AD9" s="178"/>
    </row>
    <row r="10" spans="1:30" x14ac:dyDescent="0.2">
      <c r="A10" s="70"/>
      <c r="B10" s="60"/>
      <c r="C10" s="242" t="s">
        <v>14</v>
      </c>
      <c r="D10" s="4"/>
      <c r="E10" s="88" t="str">
        <f>""</f>
        <v/>
      </c>
      <c r="F10" s="89" t="s">
        <v>75</v>
      </c>
      <c r="G10" s="71"/>
      <c r="H10" s="83"/>
      <c r="T10" s="174"/>
      <c r="U10" s="175"/>
      <c r="V10" s="175"/>
      <c r="W10" s="175"/>
      <c r="X10" s="175"/>
      <c r="Y10" s="175"/>
      <c r="Z10" s="175"/>
      <c r="AA10" s="177"/>
      <c r="AB10" s="177"/>
      <c r="AC10" s="177"/>
      <c r="AD10" s="178"/>
    </row>
    <row r="11" spans="1:30" x14ac:dyDescent="0.2">
      <c r="A11" s="70"/>
      <c r="B11" s="61"/>
      <c r="C11" s="237" t="s">
        <v>49</v>
      </c>
      <c r="D11" s="80"/>
      <c r="E11" s="88" t="str">
        <f>""</f>
        <v/>
      </c>
      <c r="F11" s="141" t="s">
        <v>172</v>
      </c>
      <c r="G11" s="71"/>
      <c r="H11" s="83"/>
      <c r="T11" s="174"/>
      <c r="U11" s="175"/>
      <c r="V11" s="175"/>
      <c r="W11" s="175"/>
      <c r="X11" s="175"/>
      <c r="Y11" s="175"/>
      <c r="Z11" s="175"/>
      <c r="AA11" s="177"/>
      <c r="AB11" s="177"/>
      <c r="AC11" s="177"/>
      <c r="AD11" s="178"/>
    </row>
    <row r="12" spans="1:30" ht="13.15" customHeight="1" thickBot="1" x14ac:dyDescent="0.25">
      <c r="A12" s="70"/>
      <c r="B12" s="138"/>
      <c r="C12" s="243" t="s">
        <v>30</v>
      </c>
      <c r="D12" s="7"/>
      <c r="E12" s="90" t="str">
        <f>""</f>
        <v/>
      </c>
      <c r="F12" s="121"/>
      <c r="G12" s="71"/>
      <c r="H12" s="83"/>
      <c r="T12" s="185"/>
      <c r="U12" s="186"/>
      <c r="V12" s="186"/>
      <c r="W12" s="186"/>
      <c r="X12" s="186"/>
      <c r="Y12" s="186"/>
      <c r="Z12" s="186"/>
      <c r="AA12" s="187"/>
      <c r="AB12" s="187"/>
      <c r="AC12" s="187"/>
      <c r="AD12" s="188"/>
    </row>
    <row r="13" spans="1:30" ht="13.15" customHeight="1" thickBot="1" x14ac:dyDescent="0.25">
      <c r="A13" s="70"/>
      <c r="B13" s="92"/>
      <c r="C13" s="4"/>
      <c r="D13" s="4"/>
      <c r="E13" s="88"/>
      <c r="F13" s="4"/>
      <c r="G13" s="71"/>
      <c r="T13" s="174"/>
      <c r="U13" s="175"/>
      <c r="V13" s="175"/>
      <c r="W13" s="175"/>
      <c r="X13" s="175"/>
      <c r="Y13" s="175"/>
      <c r="Z13" s="175"/>
      <c r="AA13" s="177"/>
      <c r="AB13" s="177"/>
      <c r="AC13" s="177"/>
      <c r="AD13" s="178"/>
    </row>
    <row r="14" spans="1:30" x14ac:dyDescent="0.2">
      <c r="A14" s="70"/>
      <c r="B14" s="74" t="s">
        <v>74</v>
      </c>
      <c r="C14" s="104"/>
      <c r="D14" s="75"/>
      <c r="E14" s="76"/>
      <c r="F14" s="93" t="s">
        <v>215</v>
      </c>
      <c r="G14" s="71"/>
      <c r="T14" s="174"/>
      <c r="U14" s="175"/>
      <c r="V14" s="175"/>
      <c r="W14" s="175"/>
      <c r="X14" s="175"/>
      <c r="Y14" s="175"/>
      <c r="Z14" s="175"/>
      <c r="AA14" s="175">
        <f>SUM(AA22:AA45)</f>
        <v>0</v>
      </c>
      <c r="AB14" s="175">
        <f>SUM(AB22:AB45)</f>
        <v>0</v>
      </c>
      <c r="AC14" s="175">
        <f>SUM(AC22:AC45)</f>
        <v>2</v>
      </c>
      <c r="AD14" s="189">
        <f>SUM(AA22:AC33)</f>
        <v>2</v>
      </c>
    </row>
    <row r="15" spans="1:30" x14ac:dyDescent="0.2">
      <c r="A15" s="70"/>
      <c r="B15" s="275"/>
      <c r="C15" s="276" t="s">
        <v>117</v>
      </c>
      <c r="D15" s="277" t="s">
        <v>196</v>
      </c>
      <c r="E15" s="88"/>
      <c r="F15" s="273"/>
      <c r="G15" s="71"/>
      <c r="T15" s="174"/>
      <c r="U15" s="175"/>
      <c r="V15" s="175"/>
      <c r="W15" s="175"/>
      <c r="X15" s="175"/>
      <c r="Y15" s="175"/>
      <c r="Z15" s="175"/>
      <c r="AA15" s="175"/>
      <c r="AB15" s="175"/>
      <c r="AC15" s="175"/>
      <c r="AD15" s="189"/>
    </row>
    <row r="16" spans="1:30" ht="32.450000000000003" customHeight="1" thickBot="1" x14ac:dyDescent="0.25">
      <c r="A16" s="70"/>
      <c r="B16" s="164"/>
      <c r="C16" s="274" t="s">
        <v>15</v>
      </c>
      <c r="D16" s="172" t="str">
        <f>IF(Z16=0,MAX(T16,MIN(V16,MIN(U16,B19))),"")</f>
        <v/>
      </c>
      <c r="E16" s="95"/>
      <c r="F16" s="299" t="str">
        <f>IF(Z16=0,IF(V16&lt;T16,"The calculated value is below the lower value for this speed limit setting group; therefore, the suggested speed limit reflects the assumed lower value.",IF(V16&gt;U16,"The calculated value exceeds the upper value for this speed limit setting group; therefore, the suggested speed limit reflects the assumed upper value.", "This value is determined by " &amp; IF(V16&gt;B19,"the maximum speed limit.", "speed data" &amp; IF(AD14&gt;0,IF(AND(Y6=1,SUM(AA42:AC45)&gt;0),", site characteristics, &amp; crash data."," &amp; site characteristics."),IF(AND(Y6=1,SUM(AA42:AC45)&gt;0), " &amp; crash data.","."))))),"Enter values for all variables marked with O.")</f>
        <v>Enter values for all variables marked with O.</v>
      </c>
      <c r="G16" s="71"/>
      <c r="T16" s="190">
        <f>'Support Tables'!C21</f>
        <v>50</v>
      </c>
      <c r="U16" s="186">
        <f>'Support Tables'!D21</f>
        <v>85</v>
      </c>
      <c r="V16" s="186">
        <f>IF(AA14&gt;0,AA16,IF(AB14&gt;0,AB16,IF(AC14&gt;0,AC16,AD16)))</f>
        <v>0</v>
      </c>
      <c r="W16" s="186"/>
      <c r="X16" s="186" t="str">
        <f>IF(OR(V16&gt;U16,V16&lt;T16,Z16&gt;0),"W","A")</f>
        <v>W</v>
      </c>
      <c r="Y16" s="186"/>
      <c r="Z16" s="186">
        <f>COUNTIF(E5:E45,"O")</f>
        <v>18</v>
      </c>
      <c r="AA16" s="186">
        <f>5*INT(B21/5)</f>
        <v>0</v>
      </c>
      <c r="AB16" s="186">
        <f>5*INT((B21+2.5)/5)</f>
        <v>0</v>
      </c>
      <c r="AC16" s="186">
        <f>5*INT(B20/5)</f>
        <v>0</v>
      </c>
      <c r="AD16" s="191">
        <f>5*INT((B20+2.5)/5)</f>
        <v>0</v>
      </c>
    </row>
    <row r="17" spans="1:30" ht="13.5" thickBot="1" x14ac:dyDescent="0.25">
      <c r="A17" s="70"/>
      <c r="C17" s="96"/>
      <c r="D17" s="96"/>
      <c r="E17" s="88"/>
      <c r="G17" s="71"/>
      <c r="T17" s="174"/>
      <c r="U17" s="175"/>
      <c r="V17" s="175"/>
      <c r="W17" s="175"/>
      <c r="X17" s="175"/>
      <c r="Y17" s="175"/>
      <c r="Z17" s="175"/>
      <c r="AA17" s="177"/>
      <c r="AB17" s="177"/>
      <c r="AC17" s="177"/>
      <c r="AD17" s="178"/>
    </row>
    <row r="18" spans="1:30" x14ac:dyDescent="0.2">
      <c r="A18" s="70"/>
      <c r="B18" s="74" t="s">
        <v>16</v>
      </c>
      <c r="C18" s="75"/>
      <c r="D18" s="75"/>
      <c r="E18" s="76"/>
      <c r="F18" s="93" t="s">
        <v>215</v>
      </c>
      <c r="G18" s="71"/>
      <c r="T18" s="174"/>
      <c r="U18" s="175"/>
      <c r="V18" s="175"/>
      <c r="W18" s="175"/>
      <c r="X18" s="175"/>
      <c r="Y18" s="175"/>
      <c r="Z18" s="175"/>
      <c r="AA18" s="177"/>
      <c r="AB18" s="177"/>
      <c r="AC18" s="177"/>
      <c r="AD18" s="192"/>
    </row>
    <row r="19" spans="1:30" x14ac:dyDescent="0.2">
      <c r="A19" s="70"/>
      <c r="B19" s="123"/>
      <c r="C19" s="244" t="s">
        <v>81</v>
      </c>
      <c r="D19" s="97"/>
      <c r="E19" s="81" t="str">
        <f>IF(ISNUMBER(B19),"","O")</f>
        <v>O</v>
      </c>
      <c r="F19" s="306" t="str">
        <f>IF(Z16=0,IF(MOD(B19,5)&lt;&gt;0,"Speed limits must be a multiple of 5 mph.", IF(OR(B19&lt;T19,B19&gt;U19), "Enter a value between " &amp; T19 &amp; " and " &amp; U19 &amp; " mph.", IF(B19&gt;U16,"The assumed upper value for this speed limit setting group is " &amp; U16 &amp; " mph.",IF(B19&lt;T16,"The assumed lower value for this speed limit setting group is " &amp; T16 &amp; " mph.", "")))),"")</f>
        <v/>
      </c>
      <c r="G19" s="71"/>
      <c r="H19" s="83"/>
      <c r="T19" s="174">
        <f>MIN('Support Tables'!C21:C24)</f>
        <v>15</v>
      </c>
      <c r="U19" s="175">
        <f>MAX('Support Tables'!D21:D24)</f>
        <v>85</v>
      </c>
      <c r="V19" s="175"/>
      <c r="W19" s="175"/>
      <c r="X19" s="181" t="s">
        <v>132</v>
      </c>
      <c r="Y19" s="175"/>
      <c r="Z19" s="175"/>
      <c r="AA19" s="177"/>
      <c r="AB19" s="177"/>
      <c r="AC19" s="177"/>
      <c r="AD19" s="178"/>
    </row>
    <row r="20" spans="1:30" x14ac:dyDescent="0.2">
      <c r="A20" s="70"/>
      <c r="B20" s="123"/>
      <c r="C20" s="245" t="s">
        <v>1</v>
      </c>
      <c r="D20" s="1"/>
      <c r="E20" s="81" t="str">
        <f>IF(ISNUMBER(B20),"","O")</f>
        <v>O</v>
      </c>
      <c r="F20" s="307" t="str">
        <f>IF(AND(Z16=0,B20&lt;B21),"The 85th percentile must be greater than the 50th percentile.","")</f>
        <v/>
      </c>
      <c r="G20" s="71"/>
      <c r="H20" s="83"/>
      <c r="T20" s="174"/>
      <c r="U20" s="175"/>
      <c r="V20" s="175"/>
      <c r="W20" s="175"/>
      <c r="X20" s="181" t="s">
        <v>132</v>
      </c>
      <c r="Y20" s="175"/>
      <c r="Z20" s="175"/>
      <c r="AA20" s="177"/>
      <c r="AB20" s="177"/>
      <c r="AC20" s="177"/>
      <c r="AD20" s="178"/>
    </row>
    <row r="21" spans="1:30" ht="13.5" thickBot="1" x14ac:dyDescent="0.25">
      <c r="A21" s="70"/>
      <c r="B21" s="124"/>
      <c r="C21" s="246" t="s">
        <v>3</v>
      </c>
      <c r="D21" s="98"/>
      <c r="E21" s="99" t="str">
        <f>IF(ISNUMBER(B21),"","O")</f>
        <v>O</v>
      </c>
      <c r="F21" s="308" t="str">
        <f>IF(AND(Z16=0,B20=B21+1),"85th percentile is only 1 mph greater than 50th percentile.  Interpret results with caution.","")</f>
        <v/>
      </c>
      <c r="G21" s="71"/>
      <c r="H21" s="83"/>
      <c r="T21" s="190"/>
      <c r="U21" s="186"/>
      <c r="V21" s="186"/>
      <c r="W21" s="186"/>
      <c r="X21" s="193" t="s">
        <v>132</v>
      </c>
      <c r="Y21" s="186"/>
      <c r="Z21" s="186"/>
      <c r="AA21" s="187"/>
      <c r="AB21" s="187"/>
      <c r="AC21" s="187"/>
      <c r="AD21" s="188"/>
    </row>
    <row r="22" spans="1:30" ht="13.5" thickBot="1" x14ac:dyDescent="0.25">
      <c r="A22" s="70"/>
      <c r="E22" s="88"/>
      <c r="G22" s="71"/>
      <c r="T22" s="174"/>
      <c r="U22" s="175"/>
      <c r="V22" s="175"/>
      <c r="W22" s="175"/>
      <c r="X22" s="175"/>
      <c r="Y22" s="175"/>
      <c r="Z22" s="175"/>
      <c r="AA22" s="177"/>
      <c r="AB22" s="177"/>
      <c r="AC22" s="177"/>
      <c r="AD22" s="178"/>
    </row>
    <row r="23" spans="1:30" x14ac:dyDescent="0.2">
      <c r="A23" s="70"/>
      <c r="B23" s="74" t="s">
        <v>44</v>
      </c>
      <c r="C23" s="75"/>
      <c r="D23" s="75"/>
      <c r="E23" s="76"/>
      <c r="F23" s="93" t="s">
        <v>215</v>
      </c>
      <c r="G23" s="71"/>
      <c r="T23" s="174"/>
      <c r="U23" s="175"/>
      <c r="V23" s="175"/>
      <c r="W23" s="175"/>
      <c r="X23" s="175"/>
      <c r="Y23" s="175"/>
      <c r="Z23" s="175"/>
      <c r="AA23" s="177"/>
      <c r="AB23" s="177"/>
      <c r="AC23" s="177"/>
      <c r="AD23" s="178"/>
    </row>
    <row r="24" spans="1:30" x14ac:dyDescent="0.2">
      <c r="A24" s="70"/>
      <c r="B24" s="123"/>
      <c r="C24" s="247" t="s">
        <v>87</v>
      </c>
      <c r="D24" s="83"/>
      <c r="E24" s="81" t="str">
        <f t="shared" ref="E24:E32" si="0">IF(ISNUMBER(B24),"","O")</f>
        <v>O</v>
      </c>
      <c r="F24" s="306" t="str">
        <f>IF(AND(Z16=0,B24&lt;Z24),"For a suggested speed limit of " &amp; D16 &amp; " mph, minimum segment length = " &amp; Z24 &amp; " mi.", "")</f>
        <v/>
      </c>
      <c r="G24" s="71"/>
      <c r="H24" s="83"/>
      <c r="T24" s="174"/>
      <c r="U24" s="175"/>
      <c r="V24" s="175"/>
      <c r="W24" s="175"/>
      <c r="X24" s="181" t="s">
        <v>132</v>
      </c>
      <c r="Y24" s="175">
        <f>MAX(B24,0.1)</f>
        <v>0.1</v>
      </c>
      <c r="Z24" s="175">
        <f>VLOOKUP(IF(Z16=0,MAX(15,MIN(85,D16)),MAX('Support Tables'!B28:B42)),'Support Tables'!B28:C42,2,FALSE)</f>
        <v>6.2</v>
      </c>
      <c r="AA24" s="177"/>
      <c r="AB24" s="177"/>
      <c r="AC24" s="177"/>
      <c r="AD24" s="178"/>
    </row>
    <row r="25" spans="1:30" x14ac:dyDescent="0.2">
      <c r="A25" s="70"/>
      <c r="B25" s="125"/>
      <c r="C25" s="248" t="s">
        <v>127</v>
      </c>
      <c r="D25" s="111"/>
      <c r="E25" s="81" t="str">
        <f t="shared" si="0"/>
        <v>O</v>
      </c>
      <c r="F25" s="136"/>
      <c r="G25" s="71"/>
      <c r="H25" s="83"/>
      <c r="T25" s="174"/>
      <c r="U25" s="175"/>
      <c r="V25" s="175"/>
      <c r="W25" s="175"/>
      <c r="X25" s="181" t="s">
        <v>133</v>
      </c>
      <c r="Y25" s="175"/>
      <c r="Z25" s="175"/>
      <c r="AA25" s="177"/>
      <c r="AB25" s="177"/>
      <c r="AC25" s="177"/>
      <c r="AD25" s="194"/>
    </row>
    <row r="26" spans="1:30" x14ac:dyDescent="0.2">
      <c r="A26" s="70"/>
      <c r="B26" s="123"/>
      <c r="C26" s="248" t="s">
        <v>102</v>
      </c>
      <c r="D26" s="111"/>
      <c r="E26" s="81" t="str">
        <f t="shared" si="0"/>
        <v>O</v>
      </c>
      <c r="F26" s="307" t="str">
        <f>IF(AND(Z16=0,OR(B26&lt;T26,B26&gt;U26)),"Number of lanes must be between " &amp; T26 &amp; " and " &amp; U26 &amp; ".","")</f>
        <v/>
      </c>
      <c r="G26" s="71"/>
      <c r="H26" s="83"/>
      <c r="T26" s="174">
        <v>4</v>
      </c>
      <c r="U26" s="175">
        <v>12</v>
      </c>
      <c r="V26" s="175"/>
      <c r="W26" s="175"/>
      <c r="X26" s="281" t="s">
        <v>132</v>
      </c>
      <c r="Y26" s="175"/>
      <c r="Z26" s="175"/>
      <c r="AA26" s="177"/>
      <c r="AB26" s="177"/>
      <c r="AC26" s="177"/>
      <c r="AD26" s="178"/>
    </row>
    <row r="27" spans="1:30" x14ac:dyDescent="0.2">
      <c r="A27" s="70"/>
      <c r="B27" s="125"/>
      <c r="C27" s="248" t="s">
        <v>128</v>
      </c>
      <c r="D27" s="111"/>
      <c r="E27" s="81" t="str">
        <f t="shared" si="0"/>
        <v>O</v>
      </c>
      <c r="F27" s="136"/>
      <c r="G27" s="71"/>
      <c r="H27" s="83"/>
      <c r="T27" s="174"/>
      <c r="U27" s="175"/>
      <c r="V27" s="175"/>
      <c r="W27" s="175"/>
      <c r="X27" s="181" t="s">
        <v>133</v>
      </c>
      <c r="Y27" s="175"/>
      <c r="Z27" s="175"/>
      <c r="AA27" s="177"/>
      <c r="AB27" s="177"/>
      <c r="AC27" s="177"/>
      <c r="AD27" s="178"/>
    </row>
    <row r="28" spans="1:30" x14ac:dyDescent="0.2">
      <c r="A28" s="70"/>
      <c r="B28" s="123"/>
      <c r="C28" s="249" t="s">
        <v>8</v>
      </c>
      <c r="D28" s="79"/>
      <c r="E28" s="81" t="str">
        <f t="shared" si="0"/>
        <v>O</v>
      </c>
      <c r="F28" s="307" t="str">
        <f>IF(Z16=0,IF(AB28=1,"Closest 50th (" &amp; T28 &amp; ")",IF(AC28=1,"Rounded-Down 85th (" &amp; T28 &amp; ")",T28)),IF(ISNUMBER(B28),T28,""))</f>
        <v/>
      </c>
      <c r="G28" s="71"/>
      <c r="H28" s="83"/>
      <c r="T28" s="174" t="str">
        <f>Y28 &amp; " mile" &amp; IF(Y28=1,"", "s") &amp; " between interchanges"</f>
        <v>0 miles between interchanges</v>
      </c>
      <c r="U28" s="175">
        <f>SUM(AA28:AC28)</f>
        <v>0</v>
      </c>
      <c r="V28" s="175"/>
      <c r="W28" s="175"/>
      <c r="X28" s="175" t="str">
        <f>IF(SUM(AA28:AD28)&gt;0,"A","C")</f>
        <v>C</v>
      </c>
      <c r="Y28" s="175">
        <f>ROUND(Z28,2)</f>
        <v>0</v>
      </c>
      <c r="Z28" s="175">
        <f>B24/MAX(B28,0.1)</f>
        <v>0</v>
      </c>
      <c r="AA28" s="177"/>
      <c r="AB28" s="177">
        <f>IF(AND(Z28&lt;=0.5,B25&gt;=180000),1,0)</f>
        <v>0</v>
      </c>
      <c r="AC28" s="177">
        <f>IF(AND(Z28&gt;0.5,Z28&lt;=1,B25&gt;=180000),1,0)</f>
        <v>0</v>
      </c>
      <c r="AD28" s="178"/>
    </row>
    <row r="29" spans="1:30" x14ac:dyDescent="0.2">
      <c r="A29" s="70"/>
      <c r="B29" s="282"/>
      <c r="C29" s="249" t="s">
        <v>31</v>
      </c>
      <c r="D29" s="79"/>
      <c r="E29" s="81" t="str">
        <f>IF(LEN(B29)&gt;0,"","O")</f>
        <v>O</v>
      </c>
      <c r="F29" s="136"/>
      <c r="G29" s="71"/>
      <c r="H29" s="83"/>
      <c r="T29" s="283" t="s">
        <v>205</v>
      </c>
      <c r="U29" s="281" t="s">
        <v>206</v>
      </c>
      <c r="V29" s="175"/>
      <c r="W29" s="175"/>
      <c r="X29" s="181" t="s">
        <v>133</v>
      </c>
      <c r="Y29" s="175"/>
      <c r="Z29" s="175"/>
      <c r="AA29" s="177"/>
      <c r="AB29" s="177"/>
      <c r="AC29" s="177"/>
      <c r="AD29" s="178"/>
    </row>
    <row r="30" spans="1:30" x14ac:dyDescent="0.2">
      <c r="A30" s="70"/>
      <c r="B30" s="123"/>
      <c r="C30" s="249" t="s">
        <v>32</v>
      </c>
      <c r="D30" s="79"/>
      <c r="E30" s="81" t="str">
        <f t="shared" si="0"/>
        <v>O</v>
      </c>
      <c r="F30" s="307" t="str">
        <f>IF(AND(Z16=0,AC30=1),"Rounded-Down 85th","")</f>
        <v/>
      </c>
      <c r="G30" s="71"/>
      <c r="H30" s="83"/>
      <c r="T30" s="174"/>
      <c r="U30" s="175"/>
      <c r="V30" s="175"/>
      <c r="W30" s="175"/>
      <c r="X30" s="181" t="s">
        <v>134</v>
      </c>
      <c r="Y30" s="175"/>
      <c r="Z30" s="175"/>
      <c r="AA30" s="177"/>
      <c r="AB30" s="177"/>
      <c r="AC30" s="177">
        <f>IF(OR(AND(B29=U29,OR(B30&gt;4)),AND(B29=T29,B30&gt;5)),1,0)</f>
        <v>0</v>
      </c>
      <c r="AD30" s="178"/>
    </row>
    <row r="31" spans="1:30" x14ac:dyDescent="0.2">
      <c r="A31" s="70"/>
      <c r="B31" s="123"/>
      <c r="C31" s="249" t="s">
        <v>33</v>
      </c>
      <c r="D31" s="79"/>
      <c r="E31" s="81" t="str">
        <f t="shared" si="0"/>
        <v>O</v>
      </c>
      <c r="F31" s="307" t="str">
        <f>IF(AND(Z16=0,AC31=1),"Rounded-Down 85th","")</f>
        <v/>
      </c>
      <c r="G31" s="71"/>
      <c r="H31" s="83"/>
      <c r="T31" s="174"/>
      <c r="U31" s="175"/>
      <c r="V31" s="175"/>
      <c r="W31" s="175"/>
      <c r="X31" s="181" t="s">
        <v>134</v>
      </c>
      <c r="Y31" s="175"/>
      <c r="Z31" s="175"/>
      <c r="AA31" s="177"/>
      <c r="AB31" s="177"/>
      <c r="AC31" s="177">
        <f>IF(B31&lt;8,1,0)</f>
        <v>1</v>
      </c>
      <c r="AD31" s="178"/>
    </row>
    <row r="32" spans="1:30" x14ac:dyDescent="0.2">
      <c r="A32" s="70"/>
      <c r="B32" s="123"/>
      <c r="C32" s="249" t="s">
        <v>34</v>
      </c>
      <c r="D32" s="79"/>
      <c r="E32" s="81" t="str">
        <f t="shared" si="0"/>
        <v>O</v>
      </c>
      <c r="F32" s="307" t="str">
        <f>IF(AND(Z16=0,AC32=1),"Rounded-Down 85th","")</f>
        <v/>
      </c>
      <c r="G32" s="71"/>
      <c r="H32" s="83"/>
      <c r="T32" s="174"/>
      <c r="U32" s="175"/>
      <c r="V32" s="175"/>
      <c r="W32" s="175"/>
      <c r="X32" s="181" t="s">
        <v>134</v>
      </c>
      <c r="Y32" s="175"/>
      <c r="Z32" s="175"/>
      <c r="AA32" s="177"/>
      <c r="AB32" s="177"/>
      <c r="AC32" s="177">
        <f>IF(OR(AND(B27&gt;250,B32&lt;12),AND(B27&lt;=250,B26&gt;=6,B32&lt;10),AND(B27&lt;=250,B26&lt;6,B32&lt;4)),1,0)</f>
        <v>1</v>
      </c>
      <c r="AD32" s="178"/>
    </row>
    <row r="33" spans="1:30" ht="13.5" thickBot="1" x14ac:dyDescent="0.25">
      <c r="A33" s="70"/>
      <c r="B33" s="113"/>
      <c r="C33" s="250" t="s">
        <v>71</v>
      </c>
      <c r="D33" s="101"/>
      <c r="E33" s="99" t="str">
        <f>""</f>
        <v/>
      </c>
      <c r="F33" s="308" t="str">
        <f>IF(AND(Z16=0,Y33=1),"Consider location-specific advisory speed warnings.","")</f>
        <v/>
      </c>
      <c r="G33" s="71"/>
      <c r="H33" s="83"/>
      <c r="T33" s="195" t="s">
        <v>2</v>
      </c>
      <c r="U33" s="196" t="s">
        <v>4</v>
      </c>
      <c r="V33" s="186"/>
      <c r="W33" s="186"/>
      <c r="X33" s="193" t="s">
        <v>134</v>
      </c>
      <c r="Y33" s="186">
        <f>IF(LEN(B33)&gt;0,MATCH(B33,T33:U33,0),0)</f>
        <v>0</v>
      </c>
      <c r="Z33" s="186"/>
      <c r="AA33" s="187"/>
      <c r="AB33" s="187"/>
      <c r="AC33" s="187"/>
      <c r="AD33" s="188"/>
    </row>
    <row r="34" spans="1:30" ht="13.5" thickBot="1" x14ac:dyDescent="0.25">
      <c r="A34" s="70"/>
      <c r="B34" s="103"/>
      <c r="C34" s="104"/>
      <c r="D34" s="104"/>
      <c r="E34" s="105"/>
      <c r="F34" s="106"/>
      <c r="G34" s="71"/>
      <c r="T34" s="174"/>
      <c r="U34" s="175"/>
      <c r="V34" s="175"/>
      <c r="W34" s="175"/>
      <c r="X34" s="175"/>
      <c r="Y34" s="175"/>
      <c r="Z34" s="175"/>
      <c r="AA34" s="177"/>
      <c r="AB34" s="177"/>
      <c r="AC34" s="177"/>
      <c r="AD34" s="178"/>
    </row>
    <row r="35" spans="1:30" x14ac:dyDescent="0.2">
      <c r="A35" s="70"/>
      <c r="B35" s="74" t="s">
        <v>17</v>
      </c>
      <c r="C35" s="75"/>
      <c r="D35" s="75"/>
      <c r="E35" s="76"/>
      <c r="F35" s="93" t="s">
        <v>215</v>
      </c>
      <c r="G35" s="71"/>
      <c r="T35" s="197"/>
      <c r="U35" s="175"/>
      <c r="V35" s="175"/>
      <c r="W35" s="175"/>
      <c r="X35" s="175"/>
      <c r="Y35" s="180"/>
      <c r="Z35" s="180"/>
      <c r="AA35" s="198"/>
      <c r="AB35" s="198"/>
      <c r="AC35" s="198"/>
      <c r="AD35" s="178"/>
    </row>
    <row r="36" spans="1:30" x14ac:dyDescent="0.2">
      <c r="A36" s="70"/>
      <c r="B36" s="62"/>
      <c r="C36" s="245" t="s">
        <v>11</v>
      </c>
      <c r="D36" s="1"/>
      <c r="E36" s="81" t="str">
        <f>IF(AND(Y6&lt;&gt;2,ISNUMBER(B36)=FALSE),"O","")</f>
        <v>O</v>
      </c>
      <c r="F36" s="306" t="str">
        <f>IF(Z16=0,IF(Y6=1,IF(B36&lt;=1,"Calculations based on 1 year of crash data or less and should be interpreted with caution.", IF(B36&lt;3,"Consider collecting at least 3 years of crash data.", "")),"These variables are not needed because crash data are not available."),"")</f>
        <v/>
      </c>
      <c r="G36" s="71"/>
      <c r="H36" s="83"/>
      <c r="T36" s="174"/>
      <c r="U36" s="175"/>
      <c r="V36" s="175"/>
      <c r="W36" s="175"/>
      <c r="X36" s="199" t="str">
        <f>IF(AND(Y6=1,B36&lt;=1),"W","A")</f>
        <v>A</v>
      </c>
      <c r="Y36" s="175">
        <f>MAX(B36,0.1)</f>
        <v>0.1</v>
      </c>
      <c r="Z36" s="175">
        <f>COUNTIF(E36:E45,"O")</f>
        <v>4</v>
      </c>
      <c r="AA36" s="177"/>
      <c r="AB36" s="177"/>
      <c r="AC36" s="177"/>
      <c r="AD36" s="178"/>
    </row>
    <row r="37" spans="1:30" x14ac:dyDescent="0.2">
      <c r="A37" s="70"/>
      <c r="B37" s="64"/>
      <c r="C37" s="251" t="s">
        <v>43</v>
      </c>
      <c r="D37" s="107"/>
      <c r="E37" s="81" t="str">
        <f>IF(AND(Y6&lt;&gt;2,ISNUMBER(B37)=FALSE),"O","")</f>
        <v>O</v>
      </c>
      <c r="F37" s="307" t="str">
        <f>IF(AND(Z16=0,Y5=1,OR(B40&gt;D44,B41&gt;D45)),"Critical rates should be higher than average rates.","")</f>
        <v/>
      </c>
      <c r="G37" s="71"/>
      <c r="H37" s="83"/>
      <c r="T37" s="174"/>
      <c r="U37" s="175"/>
      <c r="V37" s="175"/>
      <c r="W37" s="175"/>
      <c r="X37" s="181" t="s">
        <v>132</v>
      </c>
      <c r="Y37" s="200">
        <f>MAX(B37,1)</f>
        <v>1</v>
      </c>
      <c r="Z37" s="175">
        <f>365*Y36*Y37*Y24/10^8</f>
        <v>3.6500000000000003E-8</v>
      </c>
      <c r="AA37" s="177"/>
      <c r="AB37" s="177"/>
      <c r="AC37" s="177"/>
      <c r="AD37" s="178"/>
    </row>
    <row r="38" spans="1:30" x14ac:dyDescent="0.2">
      <c r="A38" s="70"/>
      <c r="B38" s="62"/>
      <c r="C38" s="247" t="s">
        <v>88</v>
      </c>
      <c r="D38" s="83"/>
      <c r="E38" s="81" t="str">
        <f>IF(AND(Y6&lt;&gt;2,ISNUMBER(B38)=FALSE),"O","")</f>
        <v>O</v>
      </c>
      <c r="F38" s="307" t="str">
        <f>IF(AND(Y6=1,Z36=0,ISNUMBER(B38)),"Observed KABCO crash rate = " &amp; ROUND(Z38,1) &amp; " crashes / 100 MVMT","")</f>
        <v/>
      </c>
      <c r="G38" s="71"/>
      <c r="H38" s="83"/>
      <c r="T38" s="174"/>
      <c r="U38" s="175"/>
      <c r="V38" s="175"/>
      <c r="W38" s="175"/>
      <c r="X38" s="181" t="s">
        <v>136</v>
      </c>
      <c r="Y38" s="175"/>
      <c r="Z38" s="175">
        <f>B38/Z$37</f>
        <v>0</v>
      </c>
      <c r="AA38" s="177"/>
      <c r="AB38" s="177"/>
      <c r="AC38" s="177"/>
      <c r="AD38" s="178"/>
    </row>
    <row r="39" spans="1:30" x14ac:dyDescent="0.2">
      <c r="A39" s="70"/>
      <c r="B39" s="62"/>
      <c r="C39" s="244" t="s">
        <v>82</v>
      </c>
      <c r="D39" s="97"/>
      <c r="E39" s="81" t="str">
        <f>IF(AND(Y6&lt;&gt;2,ISNUMBER(B39)=FALSE),"O","")</f>
        <v>O</v>
      </c>
      <c r="F39" s="307" t="str">
        <f>IF(AND(Y6=1,Z36=0),IF(AND(ISNUMBER(B39),B39&lt;=B38),"Observed KABC crash rate = " &amp; ROUND(Z39,1) &amp; " crashes / 100 MVMT","The number of KABC crashes must be less than or equal to the number of KABCO crashes."),"")</f>
        <v/>
      </c>
      <c r="G39" s="71"/>
      <c r="H39" s="83"/>
      <c r="T39" s="174"/>
      <c r="U39" s="175"/>
      <c r="V39" s="175"/>
      <c r="W39" s="175"/>
      <c r="X39" s="175" t="str">
        <f>IF(B39&lt;=B38,"C","W")</f>
        <v>C</v>
      </c>
      <c r="Y39" s="175"/>
      <c r="Z39" s="175">
        <f>B39/Z$37</f>
        <v>0</v>
      </c>
      <c r="AA39" s="177"/>
      <c r="AB39" s="177"/>
      <c r="AC39" s="177"/>
      <c r="AD39" s="178"/>
    </row>
    <row r="40" spans="1:30" x14ac:dyDescent="0.2">
      <c r="A40" s="70"/>
      <c r="B40" s="66"/>
      <c r="C40" s="244" t="s">
        <v>85</v>
      </c>
      <c r="D40" s="97"/>
      <c r="E40" s="81" t="str">
        <f>""</f>
        <v/>
      </c>
      <c r="F40" s="307" t="str">
        <f>IF(AND(Y6=1,Z36=0),IF(ISBLANK(B40),'Support Tables'!F20&amp;IF(ISBLANK('Support Tables'!F20),"A"," a")&amp;"verage KABCO crash rate = " &amp; ROUND(Z40,1) &amp; " crashes / 100 MVMT","Average KABCO crash rate for agency &amp; region (provided by user)"),"")</f>
        <v/>
      </c>
      <c r="G40" s="71"/>
      <c r="H40" s="83"/>
      <c r="T40" s="174"/>
      <c r="U40" s="175"/>
      <c r="V40" s="175"/>
      <c r="W40" s="175"/>
      <c r="X40" s="181" t="s">
        <v>136</v>
      </c>
      <c r="Y40" s="175"/>
      <c r="Z40" s="175">
        <f>IF(LEN(B40)&gt;0,B40,VLOOKUP(Y37,'Support Tables'!K6:M13,MATCH(Z5,'Support Tables'!K6:M6,0),TRUE))</f>
        <v>38.770000000000003</v>
      </c>
      <c r="AA40" s="177"/>
      <c r="AB40" s="177"/>
      <c r="AC40" s="177"/>
      <c r="AD40" s="178"/>
    </row>
    <row r="41" spans="1:30" x14ac:dyDescent="0.2">
      <c r="A41" s="70"/>
      <c r="B41" s="66"/>
      <c r="C41" s="244" t="s">
        <v>83</v>
      </c>
      <c r="D41" s="161"/>
      <c r="E41" s="81" t="str">
        <f>""</f>
        <v/>
      </c>
      <c r="F41" s="307" t="str">
        <f>IF(AND(Y6=1,Z36=0),IF(ISBLANK(B41),'Support Tables'!F20&amp;IF(ISBLANK('Support Tables'!F20),"A"," a")&amp;"verage KABC crash rate = " &amp; ROUND(Z41,1) &amp; " crashes / 100 MVMT","Average KABC crash rate for agency &amp; region (provided by user)"),"")</f>
        <v/>
      </c>
      <c r="G41" s="71"/>
      <c r="H41" s="83"/>
      <c r="T41" s="174"/>
      <c r="U41" s="175"/>
      <c r="V41" s="175"/>
      <c r="W41" s="175"/>
      <c r="X41" s="181" t="s">
        <v>136</v>
      </c>
      <c r="Y41" s="175"/>
      <c r="Z41" s="175">
        <f>IF(LEN(B41)&gt;0,B41,VLOOKUP(Y37,'Support Tables'!N6:P13,MATCH(Z5,'Support Tables'!N6:P6,0),TRUE))</f>
        <v>12.18</v>
      </c>
      <c r="AA41" s="175"/>
      <c r="AB41" s="175"/>
      <c r="AC41" s="175"/>
      <c r="AD41" s="178"/>
    </row>
    <row r="42" spans="1:30" x14ac:dyDescent="0.2">
      <c r="A42" s="70"/>
      <c r="B42" s="162"/>
      <c r="C42" s="167" t="s">
        <v>130</v>
      </c>
      <c r="D42" s="170" t="str">
        <f>IF(AND(B6="Yes",Z36=0),1.3*Z40,"")</f>
        <v/>
      </c>
      <c r="E42" s="81" t="str">
        <f>""</f>
        <v/>
      </c>
      <c r="F42" s="307" t="str">
        <f>IF(AND(Z16=0,SUM(AA42:AC42)=1),"Rounded-Down 85th","")</f>
        <v/>
      </c>
      <c r="G42" s="71"/>
      <c r="H42" s="83"/>
      <c r="T42" s="174"/>
      <c r="U42" s="175"/>
      <c r="V42" s="175"/>
      <c r="W42" s="175"/>
      <c r="X42" s="181" t="s">
        <v>134</v>
      </c>
      <c r="Y42" s="175"/>
      <c r="Z42" s="201"/>
      <c r="AA42" s="202"/>
      <c r="AB42" s="177"/>
      <c r="AC42" s="177">
        <f>IF(AND(Y6=1,Z38&gt;1.3*Z40,Z38&lt;D44),1,0)</f>
        <v>0</v>
      </c>
      <c r="AD42" s="178"/>
    </row>
    <row r="43" spans="1:30" x14ac:dyDescent="0.2">
      <c r="A43" s="70"/>
      <c r="B43" s="163"/>
      <c r="C43" s="167" t="s">
        <v>131</v>
      </c>
      <c r="D43" s="165" t="str">
        <f>IF(AND(B6="Yes",Z36=0),1.3*Z41,"")</f>
        <v/>
      </c>
      <c r="E43" s="81" t="str">
        <f>""</f>
        <v/>
      </c>
      <c r="F43" s="307" t="str">
        <f>IF(AND(Z16=0,SUM(AA43:AC43)=1),"Rounded-Down 85th","")</f>
        <v/>
      </c>
      <c r="G43" s="71"/>
      <c r="H43" s="83"/>
      <c r="T43" s="174"/>
      <c r="U43" s="175"/>
      <c r="V43" s="175"/>
      <c r="W43" s="175"/>
      <c r="X43" s="181" t="s">
        <v>134</v>
      </c>
      <c r="Y43" s="175"/>
      <c r="Z43" s="201"/>
      <c r="AA43" s="202"/>
      <c r="AB43" s="177"/>
      <c r="AC43" s="177">
        <f>IF(AND(Y6=1,Z39&gt;1.3*Z41,Z39&lt;D45),1,0)</f>
        <v>0</v>
      </c>
      <c r="AD43" s="178"/>
    </row>
    <row r="44" spans="1:30" x14ac:dyDescent="0.2">
      <c r="A44" s="70"/>
      <c r="B44" s="163"/>
      <c r="C44" s="168" t="s">
        <v>86</v>
      </c>
      <c r="D44" s="165" t="str">
        <f>IF(AND(B6="Yes",Z36=0),Z40+1.645*SQRT((Z40/Z37))+(1/2/Z37),"")</f>
        <v/>
      </c>
      <c r="E44" s="81" t="str">
        <f>""</f>
        <v/>
      </c>
      <c r="F44" s="307" t="str">
        <f>IF(AND(Z16=0,SUM(AA44:AC44)=1),"Closest 50th","")</f>
        <v/>
      </c>
      <c r="G44" s="71"/>
      <c r="T44" s="174"/>
      <c r="U44" s="175"/>
      <c r="V44" s="175"/>
      <c r="W44" s="175"/>
      <c r="X44" s="181" t="s">
        <v>134</v>
      </c>
      <c r="Y44" s="175"/>
      <c r="Z44" s="175"/>
      <c r="AA44" s="177"/>
      <c r="AB44" s="177">
        <f>IF(AND(Y6=1,Z38&gt;D44),1,0)</f>
        <v>0</v>
      </c>
      <c r="AC44" s="177"/>
      <c r="AD44" s="178"/>
    </row>
    <row r="45" spans="1:30" ht="13.5" thickBot="1" x14ac:dyDescent="0.25">
      <c r="A45" s="70"/>
      <c r="B45" s="164"/>
      <c r="C45" s="169" t="s">
        <v>84</v>
      </c>
      <c r="D45" s="166" t="str">
        <f>IF(AND(B6="Yes",Z36=0),Z41+1.645*SQRT((Z41/Z37))+(1/2/Z37),"")</f>
        <v/>
      </c>
      <c r="E45" s="90" t="str">
        <f>""</f>
        <v/>
      </c>
      <c r="F45" s="308" t="str">
        <f>IF(AND(Z16=0,SUM(AA45:AC45)=1),"Closest 50th","")</f>
        <v/>
      </c>
      <c r="G45" s="71"/>
      <c r="T45" s="190"/>
      <c r="U45" s="186"/>
      <c r="V45" s="186"/>
      <c r="W45" s="186"/>
      <c r="X45" s="193" t="s">
        <v>134</v>
      </c>
      <c r="Y45" s="186"/>
      <c r="Z45" s="186"/>
      <c r="AA45" s="187"/>
      <c r="AB45" s="187">
        <f>IF(AND(Y6=1,Z39&gt;D45),1,0)</f>
        <v>0</v>
      </c>
      <c r="AC45" s="187"/>
      <c r="AD45" s="188"/>
    </row>
    <row r="46" spans="1:30" ht="6" customHeight="1" thickBot="1" x14ac:dyDescent="0.25">
      <c r="A46" s="108"/>
      <c r="B46" s="109"/>
      <c r="C46" s="109"/>
      <c r="D46" s="109"/>
      <c r="E46" s="109"/>
      <c r="F46" s="109"/>
      <c r="G46" s="110"/>
    </row>
  </sheetData>
  <sheetProtection algorithmName="SHA-512" hashValue="VrRAwUUJmFpAIos0v/NcgjGuYrcYmO+lSV1/3e9wkBHd8OOLjryE2A5jhiZFHHZdzB9lPb2SUwXle7fcJRptpg==" saltValue="pt1JBMYeP35Euhg9s5UmcQ==" spinCount="100000" sheet="1" formatCells="0" formatColumns="0" formatRows="0"/>
  <mergeCells count="1">
    <mergeCell ref="T2:AD2"/>
  </mergeCells>
  <conditionalFormatting sqref="B36:B41 D42:D45">
    <cfRule type="expression" dxfId="26" priority="14">
      <formula>$Y$6=2</formula>
    </cfRule>
  </conditionalFormatting>
  <conditionalFormatting sqref="F16 F19:F21 F24:F33 F36:F45">
    <cfRule type="expression" dxfId="25" priority="5">
      <formula>X16="W"</formula>
    </cfRule>
    <cfRule type="expression" dxfId="24" priority="6">
      <formula>X16="C"</formula>
    </cfRule>
    <cfRule type="expression" dxfId="23" priority="7">
      <formula>X16="A"</formula>
    </cfRule>
    <cfRule type="expression" dxfId="22" priority="8">
      <formula>X16="X"</formula>
    </cfRule>
  </conditionalFormatting>
  <dataValidations count="8">
    <dataValidation type="decimal" operator="greaterThanOrEqual" allowBlank="1" showInputMessage="1" showErrorMessage="1" error="Enter a positive numeric value." sqref="B20:B21 B24 B28 B40:B41 B36:B37" xr:uid="{00000000-0002-0000-0200-000000000000}">
      <formula1>0</formula1>
    </dataValidation>
    <dataValidation type="whole" operator="greaterThanOrEqual" allowBlank="1" showInputMessage="1" showErrorMessage="1" error="Enter a positive numeric value." sqref="B11 B19 B38:B39 B25:B27" xr:uid="{00000000-0002-0000-0200-000001000000}">
      <formula1>0</formula1>
    </dataValidation>
    <dataValidation type="list" allowBlank="1" showInputMessage="1" showErrorMessage="1" error="Invalid value.  Please select from the recommended options." sqref="B6" xr:uid="{00000000-0002-0000-0200-000002000000}">
      <formula1>$T$6:$U$6</formula1>
    </dataValidation>
    <dataValidation type="list" allowBlank="1" showInputMessage="1" showErrorMessage="1" error="Invalid value.  Please select from the recommended options." sqref="B5" xr:uid="{00000000-0002-0000-0200-000003000000}">
      <formula1>$T$5:$X$5</formula1>
    </dataValidation>
    <dataValidation type="list" allowBlank="1" showInputMessage="1" showErrorMessage="1" error="Invalid value.  Please select from the recommended options." sqref="B33" xr:uid="{00000000-0002-0000-0200-000004000000}">
      <formula1>$T$33:$U$33</formula1>
    </dataValidation>
    <dataValidation type="decimal" allowBlank="1" showInputMessage="1" showErrorMessage="1" error="Enter a value between 0 and 14 ft." sqref="B31:B32" xr:uid="{00000000-0002-0000-0200-000005000000}">
      <formula1>0</formula1>
      <formula2>14</formula2>
    </dataValidation>
    <dataValidation type="list" operator="greaterThanOrEqual" allowBlank="1" showInputMessage="1" showErrorMessage="1" error="Invalid value.  Please select from the recommended options." sqref="B29" xr:uid="{00000000-0002-0000-0200-000006000000}">
      <formula1>$T$29:$U$29</formula1>
    </dataValidation>
    <dataValidation type="decimal" allowBlank="1" showInputMessage="1" showErrorMessage="1" error="Enter a value between 0 and 12 %" sqref="B30" xr:uid="{00000000-0002-0000-0200-000007000000}">
      <formula1>0</formula1>
      <formula2>12</formula2>
    </dataValidation>
  </dataValidations>
  <pageMargins left="0.7" right="0.7" top="0.75" bottom="0.75" header="0.3" footer="0.3"/>
  <pageSetup orientation="portrait" horizontalDpi="4294967293" verticalDpi="300" r:id="rId1"/>
  <ignoredErrors>
    <ignoredError sqref="E2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5050"/>
  </sheetPr>
  <dimension ref="A1:AD48"/>
  <sheetViews>
    <sheetView showGridLines="0" zoomScaleNormal="100" workbookViewId="0">
      <pane ySplit="3" topLeftCell="A4" activePane="bottomLeft" state="frozen"/>
      <selection pane="bottomLeft" activeCell="D15" sqref="D15"/>
    </sheetView>
  </sheetViews>
  <sheetFormatPr defaultColWidth="9.140625" defaultRowHeight="12.75" x14ac:dyDescent="0.2"/>
  <cols>
    <col min="1" max="1" width="1.140625" style="3" customWidth="1"/>
    <col min="2" max="2" width="25.7109375" style="3" bestFit="1" customWidth="1"/>
    <col min="3" max="3" width="31.42578125" style="3" customWidth="1"/>
    <col min="4" max="4" width="14.28515625" style="3" customWidth="1"/>
    <col min="5" max="5" width="3.7109375" style="3" customWidth="1"/>
    <col min="6" max="6" width="87.28515625" style="3" customWidth="1"/>
    <col min="7" max="7" width="1.28515625" style="3" customWidth="1"/>
    <col min="8" max="24" width="9.140625" style="3" customWidth="1"/>
    <col min="25" max="25" width="9.140625" style="3"/>
    <col min="26" max="26" width="10" style="3" bestFit="1" customWidth="1"/>
    <col min="27" max="27" width="10" style="114" customWidth="1"/>
    <col min="28" max="29" width="9.140625" style="114"/>
    <col min="30" max="30" width="9.140625" style="114" customWidth="1"/>
    <col min="31" max="31" width="9.140625" style="3" customWidth="1"/>
    <col min="32" max="32" width="14.42578125" style="3" customWidth="1"/>
    <col min="33" max="37" width="13.7109375" style="3" customWidth="1"/>
    <col min="38" max="39" width="9.140625" style="3" customWidth="1"/>
    <col min="40" max="16384" width="9.140625" style="3"/>
  </cols>
  <sheetData>
    <row r="1" spans="1:30" ht="6" customHeight="1" thickTop="1" thickBot="1" x14ac:dyDescent="0.25">
      <c r="A1" s="67"/>
      <c r="B1" s="68"/>
      <c r="C1" s="68"/>
      <c r="D1" s="68"/>
      <c r="E1" s="68"/>
      <c r="F1" s="68"/>
      <c r="G1" s="69"/>
    </row>
    <row r="2" spans="1:30" ht="13.5" thickBot="1" x14ac:dyDescent="0.25">
      <c r="A2" s="70"/>
      <c r="B2" s="149" t="s">
        <v>214</v>
      </c>
      <c r="C2" s="150"/>
      <c r="D2" s="150"/>
      <c r="E2" s="150"/>
      <c r="F2" s="151"/>
      <c r="G2" s="71"/>
      <c r="T2" s="322" t="s">
        <v>124</v>
      </c>
      <c r="U2" s="323"/>
      <c r="V2" s="323"/>
      <c r="W2" s="323"/>
      <c r="X2" s="323"/>
      <c r="Y2" s="323"/>
      <c r="Z2" s="323"/>
      <c r="AA2" s="323"/>
      <c r="AB2" s="323"/>
      <c r="AC2" s="323"/>
      <c r="AD2" s="324"/>
    </row>
    <row r="3" spans="1:30" ht="13.15" customHeight="1" thickBot="1" x14ac:dyDescent="0.25">
      <c r="A3" s="70"/>
      <c r="B3" s="157" t="s">
        <v>180</v>
      </c>
      <c r="C3" s="157" t="s">
        <v>14</v>
      </c>
      <c r="D3" s="157" t="s">
        <v>181</v>
      </c>
      <c r="G3" s="71"/>
      <c r="T3" s="174"/>
      <c r="U3" s="175"/>
      <c r="V3" s="175"/>
      <c r="W3" s="175"/>
      <c r="X3" s="176"/>
      <c r="Y3" s="175"/>
      <c r="Z3" s="175"/>
      <c r="AA3" s="177"/>
      <c r="AB3" s="177"/>
      <c r="AC3" s="177"/>
      <c r="AD3" s="178"/>
    </row>
    <row r="4" spans="1:30" x14ac:dyDescent="0.2">
      <c r="A4" s="70"/>
      <c r="B4" s="122" t="s">
        <v>28</v>
      </c>
      <c r="C4" s="75"/>
      <c r="D4" s="75"/>
      <c r="E4" s="76"/>
      <c r="F4" s="77" t="s">
        <v>68</v>
      </c>
      <c r="G4" s="71"/>
      <c r="T4" s="179" t="s">
        <v>123</v>
      </c>
      <c r="U4" s="180"/>
      <c r="V4" s="180"/>
      <c r="W4" s="176"/>
      <c r="X4" s="181" t="s">
        <v>135</v>
      </c>
      <c r="Y4" s="175" t="s">
        <v>35</v>
      </c>
      <c r="Z4" s="175" t="s">
        <v>39</v>
      </c>
      <c r="AA4" s="177" t="s">
        <v>76</v>
      </c>
      <c r="AB4" s="177" t="s">
        <v>36</v>
      </c>
      <c r="AC4" s="177" t="s">
        <v>37</v>
      </c>
      <c r="AD4" s="182" t="s">
        <v>38</v>
      </c>
    </row>
    <row r="5" spans="1:30" x14ac:dyDescent="0.2">
      <c r="A5" s="70"/>
      <c r="B5" s="112"/>
      <c r="C5" s="239" t="s">
        <v>67</v>
      </c>
      <c r="D5" s="86"/>
      <c r="E5" s="81" t="str">
        <f>IF(LEN(B5)&gt;0,"","O")</f>
        <v>O</v>
      </c>
      <c r="F5" s="82" t="s">
        <v>72</v>
      </c>
      <c r="G5" s="71"/>
      <c r="H5" s="83"/>
      <c r="T5" s="183" t="s">
        <v>2</v>
      </c>
      <c r="U5" s="184" t="s">
        <v>4</v>
      </c>
      <c r="V5" s="180"/>
      <c r="W5" s="176"/>
      <c r="X5" s="176"/>
      <c r="Y5" s="175">
        <f>IF(LEN(B5)&gt;0,MATCH(B5,T5:U5,0),0)</f>
        <v>0</v>
      </c>
      <c r="Z5" s="175"/>
      <c r="AA5" s="177"/>
      <c r="AB5" s="177"/>
      <c r="AC5" s="177"/>
      <c r="AD5" s="178"/>
    </row>
    <row r="6" spans="1:30" x14ac:dyDescent="0.2">
      <c r="A6" s="70"/>
      <c r="B6" s="143"/>
      <c r="C6" s="240" t="s">
        <v>148</v>
      </c>
      <c r="D6" s="142"/>
      <c r="E6" s="88" t="str">
        <f>""</f>
        <v/>
      </c>
      <c r="F6" s="84" t="s">
        <v>73</v>
      </c>
      <c r="G6" s="71"/>
      <c r="H6" s="83"/>
      <c r="T6" s="174"/>
      <c r="U6" s="175"/>
      <c r="V6" s="175"/>
      <c r="W6" s="175"/>
      <c r="X6" s="175"/>
      <c r="Y6" s="175"/>
      <c r="Z6" s="175"/>
      <c r="AA6" s="177"/>
      <c r="AB6" s="177"/>
      <c r="AC6" s="177"/>
      <c r="AD6" s="178"/>
    </row>
    <row r="7" spans="1:30" x14ac:dyDescent="0.2">
      <c r="A7" s="70"/>
      <c r="B7" s="59"/>
      <c r="C7" s="241" t="s">
        <v>29</v>
      </c>
      <c r="E7" s="88" t="str">
        <f>""</f>
        <v/>
      </c>
      <c r="F7" s="87" t="s">
        <v>80</v>
      </c>
      <c r="G7" s="71"/>
      <c r="H7" s="83"/>
      <c r="T7" s="174"/>
      <c r="U7" s="175"/>
      <c r="V7" s="175"/>
      <c r="W7" s="175"/>
      <c r="X7" s="175"/>
      <c r="Y7" s="175"/>
      <c r="Z7" s="175"/>
      <c r="AA7" s="177"/>
      <c r="AB7" s="177"/>
      <c r="AC7" s="177"/>
      <c r="AD7" s="178"/>
    </row>
    <row r="8" spans="1:30" x14ac:dyDescent="0.2">
      <c r="A8" s="70"/>
      <c r="B8" s="143"/>
      <c r="C8" s="242" t="s">
        <v>41</v>
      </c>
      <c r="D8" s="4"/>
      <c r="E8" s="88" t="str">
        <f>""</f>
        <v/>
      </c>
      <c r="F8" s="148" t="s">
        <v>174</v>
      </c>
      <c r="G8" s="71"/>
      <c r="H8" s="83"/>
      <c r="T8" s="174"/>
      <c r="U8" s="175"/>
      <c r="V8" s="175"/>
      <c r="W8" s="175"/>
      <c r="X8" s="175"/>
      <c r="Y8" s="175"/>
      <c r="Z8" s="175"/>
      <c r="AA8" s="177"/>
      <c r="AB8" s="177"/>
      <c r="AC8" s="177"/>
      <c r="AD8" s="178"/>
    </row>
    <row r="9" spans="1:30" x14ac:dyDescent="0.2">
      <c r="A9" s="70"/>
      <c r="B9" s="60"/>
      <c r="C9" s="242" t="s">
        <v>14</v>
      </c>
      <c r="D9" s="4"/>
      <c r="E9" s="88" t="str">
        <f>""</f>
        <v/>
      </c>
      <c r="F9" s="147" t="s">
        <v>173</v>
      </c>
      <c r="G9" s="71"/>
      <c r="H9" s="83"/>
      <c r="T9" s="174"/>
      <c r="U9" s="175"/>
      <c r="V9" s="175"/>
      <c r="W9" s="175"/>
      <c r="X9" s="175"/>
      <c r="Y9" s="175"/>
      <c r="Z9" s="175"/>
      <c r="AA9" s="177"/>
      <c r="AB9" s="177"/>
      <c r="AC9" s="177"/>
      <c r="AD9" s="178"/>
    </row>
    <row r="10" spans="1:30" x14ac:dyDescent="0.2">
      <c r="A10" s="70"/>
      <c r="B10" s="61"/>
      <c r="C10" s="237" t="s">
        <v>49</v>
      </c>
      <c r="D10" s="80"/>
      <c r="E10" s="88" t="str">
        <f>""</f>
        <v/>
      </c>
      <c r="F10" s="89" t="s">
        <v>75</v>
      </c>
      <c r="G10" s="71"/>
      <c r="H10" s="83"/>
      <c r="T10" s="174"/>
      <c r="U10" s="175"/>
      <c r="V10" s="175"/>
      <c r="W10" s="175"/>
      <c r="X10" s="175"/>
      <c r="Y10" s="175"/>
      <c r="Z10" s="175"/>
      <c r="AA10" s="177"/>
      <c r="AB10" s="177"/>
      <c r="AC10" s="177"/>
      <c r="AD10" s="178"/>
    </row>
    <row r="11" spans="1:30" ht="13.15" customHeight="1" thickBot="1" x14ac:dyDescent="0.25">
      <c r="A11" s="70"/>
      <c r="B11" s="139"/>
      <c r="C11" s="243" t="s">
        <v>30</v>
      </c>
      <c r="D11" s="7"/>
      <c r="E11" s="90" t="str">
        <f>""</f>
        <v/>
      </c>
      <c r="F11" s="140" t="s">
        <v>171</v>
      </c>
      <c r="G11" s="71"/>
      <c r="H11" s="83"/>
      <c r="T11" s="185"/>
      <c r="U11" s="186"/>
      <c r="V11" s="186"/>
      <c r="W11" s="186"/>
      <c r="X11" s="186"/>
      <c r="Y11" s="186"/>
      <c r="Z11" s="186"/>
      <c r="AA11" s="187"/>
      <c r="AB11" s="187"/>
      <c r="AC11" s="187"/>
      <c r="AD11" s="188"/>
    </row>
    <row r="12" spans="1:30" ht="13.15" customHeight="1" thickBot="1" x14ac:dyDescent="0.25">
      <c r="A12" s="70"/>
      <c r="B12" s="92"/>
      <c r="C12" s="4"/>
      <c r="D12" s="4"/>
      <c r="E12" s="88"/>
      <c r="F12" s="4"/>
      <c r="G12" s="71"/>
      <c r="T12" s="174"/>
      <c r="U12" s="175"/>
      <c r="V12" s="175"/>
      <c r="W12" s="175"/>
      <c r="X12" s="175"/>
      <c r="Y12" s="175"/>
      <c r="Z12" s="175"/>
      <c r="AA12" s="177"/>
      <c r="AB12" s="177"/>
      <c r="AC12" s="177"/>
      <c r="AD12" s="178"/>
    </row>
    <row r="13" spans="1:30" x14ac:dyDescent="0.2">
      <c r="A13" s="70"/>
      <c r="B13" s="74" t="s">
        <v>74</v>
      </c>
      <c r="C13" s="104"/>
      <c r="D13" s="75"/>
      <c r="E13" s="76"/>
      <c r="F13" s="93" t="s">
        <v>215</v>
      </c>
      <c r="G13" s="71"/>
      <c r="T13" s="174"/>
      <c r="U13" s="175"/>
      <c r="V13" s="175"/>
      <c r="W13" s="175"/>
      <c r="X13" s="175"/>
      <c r="Y13" s="175"/>
      <c r="Z13" s="175"/>
      <c r="AA13" s="175">
        <f>SUM(AA21:AA47)</f>
        <v>0</v>
      </c>
      <c r="AB13" s="175">
        <f>SUM(AB21:AB47)</f>
        <v>0</v>
      </c>
      <c r="AC13" s="175">
        <f>SUM(AC21:AC47)</f>
        <v>0</v>
      </c>
      <c r="AD13" s="189">
        <f>SUM(AA21:AC35)</f>
        <v>0</v>
      </c>
    </row>
    <row r="14" spans="1:30" x14ac:dyDescent="0.2">
      <c r="A14" s="70"/>
      <c r="B14" s="275"/>
      <c r="C14" s="276" t="s">
        <v>117</v>
      </c>
      <c r="D14" s="277" t="s">
        <v>6</v>
      </c>
      <c r="E14" s="88"/>
      <c r="F14" s="273"/>
      <c r="G14" s="71"/>
      <c r="T14" s="174"/>
      <c r="U14" s="175"/>
      <c r="V14" s="175"/>
      <c r="W14" s="175"/>
      <c r="X14" s="175"/>
      <c r="Y14" s="175"/>
      <c r="Z14" s="175"/>
      <c r="AA14" s="175"/>
      <c r="AB14" s="175"/>
      <c r="AC14" s="175"/>
      <c r="AD14" s="189"/>
    </row>
    <row r="15" spans="1:30" ht="32.450000000000003" customHeight="1" thickBot="1" x14ac:dyDescent="0.25">
      <c r="A15" s="70"/>
      <c r="B15" s="164"/>
      <c r="C15" s="274" t="s">
        <v>15</v>
      </c>
      <c r="D15" s="173" t="str">
        <f>IF(Z15=0,MAX(T15,MIN(V15,MIN(U15,B18))),"")</f>
        <v/>
      </c>
      <c r="E15" s="95"/>
      <c r="F15" s="118" t="str">
        <f>IF(Z15=0,IF(V15&lt;T15,"The calculated value is below the lower value for this speed limit setting group; therefore, the suggested speed limit reflects the assumed lower value.",IF(V15&gt;U15,"The calculated value exceeds the upper value for this speed limit setting group; therefore, the suggested speed limit reflects the assumed upper value.", "This value is determined by " &amp; IF(V15&gt;B18,"the maximum speed limit.", "speed data" &amp; IF(AD13&gt;0,IF(AND(Y5=1,SUM(AA44:AC47)&gt;0),", site characteristics, &amp; crash data."," &amp; site characteristics."),IF(AND(Y5=1,SUM(AA44:AC47)&gt;0), " &amp; crash data.","."))))),"Enter values for all variables marked with O.")</f>
        <v>Enter values for all variables marked with O.</v>
      </c>
      <c r="G15" s="71"/>
      <c r="T15" s="190">
        <f>'Support Tables'!C22</f>
        <v>25</v>
      </c>
      <c r="U15" s="186">
        <f>'Support Tables'!D22</f>
        <v>55</v>
      </c>
      <c r="V15" s="186">
        <f>IF(AA13&gt;0,AA15,IF(AB13&gt;0,AB15,IF(AC13&gt;0,AC15,AD15)))</f>
        <v>0</v>
      </c>
      <c r="W15" s="186"/>
      <c r="X15" s="186" t="str">
        <f>IF(OR(V15&gt;U15,V15&lt;T15,Z15&gt;0),"W","A")</f>
        <v>W</v>
      </c>
      <c r="Y15" s="186"/>
      <c r="Z15" s="186">
        <f>COUNTIF(E5:E47,"O")</f>
        <v>19</v>
      </c>
      <c r="AA15" s="186">
        <f>5*INT(B20/5)</f>
        <v>0</v>
      </c>
      <c r="AB15" s="186">
        <f>5*INT((B20+2.5)/5)</f>
        <v>0</v>
      </c>
      <c r="AC15" s="186">
        <f>5*INT(B19/5)</f>
        <v>0</v>
      </c>
      <c r="AD15" s="191">
        <f>5*INT((B19+2.5)/5)</f>
        <v>0</v>
      </c>
    </row>
    <row r="16" spans="1:30" ht="13.5" thickBot="1" x14ac:dyDescent="0.25">
      <c r="A16" s="70"/>
      <c r="C16" s="96"/>
      <c r="D16" s="96"/>
      <c r="E16" s="88"/>
      <c r="G16" s="71"/>
      <c r="T16" s="174"/>
      <c r="U16" s="175"/>
      <c r="V16" s="175"/>
      <c r="W16" s="175"/>
      <c r="X16" s="175"/>
      <c r="Y16" s="175"/>
      <c r="Z16" s="175"/>
      <c r="AA16" s="177"/>
      <c r="AB16" s="177"/>
      <c r="AC16" s="177"/>
      <c r="AD16" s="178"/>
    </row>
    <row r="17" spans="1:30" x14ac:dyDescent="0.2">
      <c r="A17" s="70"/>
      <c r="B17" s="74" t="s">
        <v>16</v>
      </c>
      <c r="C17" s="75"/>
      <c r="D17" s="75"/>
      <c r="E17" s="76"/>
      <c r="F17" s="93" t="s">
        <v>215</v>
      </c>
      <c r="G17" s="71"/>
      <c r="T17" s="174"/>
      <c r="U17" s="175"/>
      <c r="V17" s="175"/>
      <c r="W17" s="175"/>
      <c r="X17" s="175"/>
      <c r="Y17" s="175"/>
      <c r="Z17" s="175"/>
      <c r="AA17" s="177"/>
      <c r="AB17" s="177"/>
      <c r="AC17" s="177"/>
      <c r="AD17" s="192"/>
    </row>
    <row r="18" spans="1:30" x14ac:dyDescent="0.2">
      <c r="A18" s="70"/>
      <c r="B18" s="62"/>
      <c r="C18" s="244" t="s">
        <v>81</v>
      </c>
      <c r="D18" s="97"/>
      <c r="E18" s="81" t="str">
        <f>IF(ISNUMBER(B18),"","O")</f>
        <v>O</v>
      </c>
      <c r="F18" s="306" t="str">
        <f>IF(Z15=0,IF(MOD(B18,5)&lt;&gt;0,"Speed limits must be a multiple of 5 mph.", IF(OR(B18&lt;T18,B18&gt;U18), "Enter a value between " &amp; T18 &amp; " and " &amp; U18 &amp; " mph.", IF(B18&gt;U15,"The assumed upper value for this speed limit setting group is " &amp; U15 &amp; " mph.",IF(B18&lt;T15,"The assumed lower value for this speed limit setting group is " &amp; T15 &amp; " mph.", "")))),"")</f>
        <v/>
      </c>
      <c r="G18" s="71"/>
      <c r="H18" s="83"/>
      <c r="T18" s="174">
        <f>MIN('Support Tables'!C21:C24)</f>
        <v>15</v>
      </c>
      <c r="U18" s="175">
        <f>MAX('Support Tables'!D21:D24)</f>
        <v>85</v>
      </c>
      <c r="V18" s="175"/>
      <c r="W18" s="175"/>
      <c r="X18" s="199" t="s">
        <v>132</v>
      </c>
      <c r="Y18" s="175"/>
      <c r="Z18" s="175"/>
      <c r="AA18" s="177"/>
      <c r="AB18" s="177"/>
      <c r="AC18" s="177"/>
      <c r="AD18" s="178"/>
    </row>
    <row r="19" spans="1:30" x14ac:dyDescent="0.2">
      <c r="A19" s="70"/>
      <c r="B19" s="62"/>
      <c r="C19" s="245" t="s">
        <v>1</v>
      </c>
      <c r="D19" s="1"/>
      <c r="E19" s="81" t="str">
        <f>IF(ISNUMBER(B19),"","O")</f>
        <v>O</v>
      </c>
      <c r="F19" s="307" t="str">
        <f>IF(AND(Z15=0,B19&lt;B20),"The 85th percentile must be greater than the 50th percentile.","")</f>
        <v/>
      </c>
      <c r="G19" s="71"/>
      <c r="H19" s="83"/>
      <c r="T19" s="174"/>
      <c r="U19" s="175"/>
      <c r="V19" s="175"/>
      <c r="W19" s="175"/>
      <c r="X19" s="199" t="s">
        <v>132</v>
      </c>
      <c r="Y19" s="175"/>
      <c r="Z19" s="175"/>
      <c r="AA19" s="177"/>
      <c r="AB19" s="177"/>
      <c r="AC19" s="177"/>
      <c r="AD19" s="178"/>
    </row>
    <row r="20" spans="1:30" ht="13.5" thickBot="1" x14ac:dyDescent="0.25">
      <c r="A20" s="70"/>
      <c r="B20" s="63"/>
      <c r="C20" s="246" t="s">
        <v>3</v>
      </c>
      <c r="D20" s="98"/>
      <c r="E20" s="99" t="str">
        <f>IF(ISNUMBER(B20),"","O")</f>
        <v>O</v>
      </c>
      <c r="F20" s="308" t="str">
        <f>IF(AND(Z15=0,B19=B20+1),"85th percentile is only 1 mph greater than 50th percentile.  Interpret results with caution.","")</f>
        <v/>
      </c>
      <c r="G20" s="71"/>
      <c r="H20" s="83"/>
      <c r="T20" s="190"/>
      <c r="U20" s="186"/>
      <c r="V20" s="186"/>
      <c r="W20" s="186"/>
      <c r="X20" s="203" t="s">
        <v>132</v>
      </c>
      <c r="Y20" s="186"/>
      <c r="Z20" s="186"/>
      <c r="AA20" s="187"/>
      <c r="AB20" s="187"/>
      <c r="AC20" s="187"/>
      <c r="AD20" s="188"/>
    </row>
    <row r="21" spans="1:30" ht="13.5" thickBot="1" x14ac:dyDescent="0.25">
      <c r="A21" s="70"/>
      <c r="E21" s="88"/>
      <c r="G21" s="71"/>
      <c r="T21" s="174"/>
      <c r="U21" s="175"/>
      <c r="V21" s="175"/>
      <c r="W21" s="175"/>
      <c r="X21" s="175"/>
      <c r="Y21" s="175"/>
      <c r="Z21" s="175"/>
      <c r="AA21" s="177"/>
      <c r="AB21" s="177"/>
      <c r="AC21" s="177"/>
      <c r="AD21" s="178"/>
    </row>
    <row r="22" spans="1:30" x14ac:dyDescent="0.2">
      <c r="A22" s="70"/>
      <c r="B22" s="74" t="s">
        <v>44</v>
      </c>
      <c r="C22" s="75"/>
      <c r="D22" s="75"/>
      <c r="E22" s="76"/>
      <c r="F22" s="93" t="s">
        <v>215</v>
      </c>
      <c r="G22" s="71"/>
      <c r="T22" s="174"/>
      <c r="U22" s="175"/>
      <c r="V22" s="175"/>
      <c r="W22" s="175"/>
      <c r="X22" s="175"/>
      <c r="Y22" s="175"/>
      <c r="Z22" s="175"/>
      <c r="AA22" s="177"/>
      <c r="AB22" s="177"/>
      <c r="AC22" s="177"/>
      <c r="AD22" s="178"/>
    </row>
    <row r="23" spans="1:30" x14ac:dyDescent="0.2">
      <c r="A23" s="70"/>
      <c r="B23" s="62"/>
      <c r="C23" s="247" t="s">
        <v>87</v>
      </c>
      <c r="D23" s="83"/>
      <c r="E23" s="81" t="str">
        <f>IF(ISNUMBER(B23),"","O")</f>
        <v>O</v>
      </c>
      <c r="F23" s="306" t="str">
        <f>IF(AND(Z15=0,B23&lt;Z23),"For a suggested speed limit of " &amp; D15 &amp; " mph, minimum segment length = " &amp; Z23 &amp; " mi.", "")</f>
        <v/>
      </c>
      <c r="G23" s="71"/>
      <c r="H23" s="83"/>
      <c r="T23" s="174"/>
      <c r="U23" s="175"/>
      <c r="V23" s="175"/>
      <c r="W23" s="175"/>
      <c r="X23" s="199" t="s">
        <v>132</v>
      </c>
      <c r="Y23" s="175">
        <f>MAX(B23,0.1)</f>
        <v>0.1</v>
      </c>
      <c r="Z23" s="175">
        <f>VLOOKUP(IF(Z15=0,MAX(15,MIN(85,D15)),MAX('Support Tables'!B28:B42)),'Support Tables'!B28:C42,2,FALSE)</f>
        <v>6.2</v>
      </c>
      <c r="AA23" s="177"/>
      <c r="AB23" s="177"/>
      <c r="AC23" s="177"/>
      <c r="AD23" s="178"/>
    </row>
    <row r="24" spans="1:30" x14ac:dyDescent="0.2">
      <c r="A24" s="70"/>
      <c r="B24" s="62"/>
      <c r="C24" s="248" t="s">
        <v>102</v>
      </c>
      <c r="D24" s="111"/>
      <c r="E24" s="81" t="str">
        <f>IF(ISNUMBER(B24),"","O")</f>
        <v>O</v>
      </c>
      <c r="F24" s="307" t="str">
        <f>IF(AND(Z15=0,OR(B24&lt;T24,B24&gt;U24)),"Number of lanes must be between " &amp; T24 &amp; " and " &amp; U24 &amp; ".","")</f>
        <v/>
      </c>
      <c r="G24" s="71"/>
      <c r="H24" s="83"/>
      <c r="T24" s="174">
        <v>2</v>
      </c>
      <c r="U24" s="175">
        <v>8</v>
      </c>
      <c r="V24" s="175"/>
      <c r="W24" s="175"/>
      <c r="X24" s="281" t="s">
        <v>132</v>
      </c>
      <c r="Y24" s="175"/>
      <c r="Z24" s="175"/>
      <c r="AA24" s="177"/>
      <c r="AB24" s="177"/>
      <c r="AC24" s="177"/>
      <c r="AD24" s="178"/>
    </row>
    <row r="25" spans="1:30" x14ac:dyDescent="0.2">
      <c r="A25" s="70"/>
      <c r="B25" s="112"/>
      <c r="C25" s="241" t="s">
        <v>18</v>
      </c>
      <c r="E25" s="81" t="str">
        <f>IF(LEN(B25)=0,"O","")</f>
        <v>O</v>
      </c>
      <c r="F25" s="307" t="str">
        <f>IF(AND(Z15=0,AC25=1),"Rounded-Down 85th","")</f>
        <v/>
      </c>
      <c r="G25" s="71"/>
      <c r="H25" s="83"/>
      <c r="T25" s="204" t="s">
        <v>42</v>
      </c>
      <c r="U25" s="175" t="s">
        <v>25</v>
      </c>
      <c r="V25" s="205" t="s">
        <v>98</v>
      </c>
      <c r="W25" s="293" t="s">
        <v>211</v>
      </c>
      <c r="X25" s="199" t="s">
        <v>134</v>
      </c>
      <c r="Y25" s="175">
        <f>IF(LEN(B25)&gt;0,MATCH(B25,T25:W25,0),0)</f>
        <v>0</v>
      </c>
      <c r="Z25" s="175"/>
      <c r="AA25" s="177"/>
      <c r="AB25" s="177"/>
      <c r="AC25" s="177">
        <f>IF(AND(Y25=1,B24&gt;=4),1,0)</f>
        <v>0</v>
      </c>
      <c r="AD25" s="178"/>
    </row>
    <row r="26" spans="1:30" x14ac:dyDescent="0.2">
      <c r="A26" s="70"/>
      <c r="B26" s="62"/>
      <c r="C26" s="241" t="s">
        <v>19</v>
      </c>
      <c r="E26" s="81" t="str">
        <f>IF(ISNUMBER(B26),"","O")</f>
        <v>O</v>
      </c>
      <c r="F26" s="307" t="str">
        <f>IF(Z15=0,IF(AB26=1,"Closest 50th (" &amp; T26 &amp; ")",IF(AC26=1,"Rounded-Down 85th (" &amp; T26 &amp; ")",T26)),IF(ISNUMBER(B26),T26,""))</f>
        <v/>
      </c>
      <c r="G26" s="71"/>
      <c r="H26" s="83"/>
      <c r="T26" s="174" t="str">
        <f>ROUND(Z26,2) &amp; " signal" &amp; IF(ROUND(Z26,2)=1, "", "s") &amp; " / mi"</f>
        <v>0 signals / mi</v>
      </c>
      <c r="U26" s="175">
        <f>SUM(AA26:AC26)</f>
        <v>0</v>
      </c>
      <c r="V26" s="175"/>
      <c r="W26" s="175"/>
      <c r="X26" s="175" t="str">
        <f>IF(SUM(AA26:AD26)&gt;0,"A","C")</f>
        <v>C</v>
      </c>
      <c r="Y26" s="175"/>
      <c r="Z26" s="175">
        <f>B26/Y23</f>
        <v>0</v>
      </c>
      <c r="AA26" s="177"/>
      <c r="AB26" s="177">
        <f>IF(Z26&gt;4,1,0)</f>
        <v>0</v>
      </c>
      <c r="AC26" s="177">
        <f>IF(AND(Z26&gt;3,Z26&lt;=4),1,0)</f>
        <v>0</v>
      </c>
      <c r="AD26" s="178"/>
    </row>
    <row r="27" spans="1:30" x14ac:dyDescent="0.2">
      <c r="A27" s="70"/>
      <c r="B27" s="62"/>
      <c r="C27" s="252" t="s">
        <v>121</v>
      </c>
      <c r="D27" s="94"/>
      <c r="E27" s="81" t="str">
        <f>IF(ISNUMBER(B27),"","O")</f>
        <v>O</v>
      </c>
      <c r="F27" s="307" t="str">
        <f>IF(Z15=0,IF(AB27=1,"Closest 50th (" &amp; T27 &amp; ")",IF(AC27=1,"Rounded-Down 85th (" &amp; T27 &amp; ")",T27)),IF(ISNUMBER(B27),T27,""))</f>
        <v/>
      </c>
      <c r="G27" s="71"/>
      <c r="H27" s="83"/>
      <c r="T27" s="174" t="str">
        <f>ROUND(Z27,2) &amp; " access point" &amp; IF(ROUND(Z27,2) = 1, "", "s") &amp; " / mi"</f>
        <v>0 access points / mi</v>
      </c>
      <c r="U27" s="175">
        <f>SUM(AA27:AC27)</f>
        <v>0</v>
      </c>
      <c r="V27" s="175"/>
      <c r="W27" s="175"/>
      <c r="X27" s="175" t="str">
        <f>IF(SUM(AA27:AD27)&gt;0,"A","C")</f>
        <v>C</v>
      </c>
      <c r="Y27" s="175"/>
      <c r="Z27" s="175">
        <f>B27/Y23</f>
        <v>0</v>
      </c>
      <c r="AA27" s="177"/>
      <c r="AB27" s="177">
        <f>IF(Z27&gt;60,1,0)</f>
        <v>0</v>
      </c>
      <c r="AC27" s="177">
        <f>IF(AND(Z27&gt;40,Z27&lt;=60),1,0)</f>
        <v>0</v>
      </c>
      <c r="AD27" s="178"/>
    </row>
    <row r="28" spans="1:30" x14ac:dyDescent="0.2">
      <c r="A28" s="70"/>
      <c r="B28" s="58"/>
      <c r="C28" s="253" t="s">
        <v>178</v>
      </c>
      <c r="D28" s="152"/>
      <c r="E28" s="81" t="str">
        <f>IF(LEN(B28)=0,"O","")</f>
        <v>O</v>
      </c>
      <c r="F28" s="307" t="str">
        <f>IF(Z15=0,IF(AB28=1,"Closest 50th",IF(AC28=1,"Rounded-Down 85th","")),"")</f>
        <v/>
      </c>
      <c r="G28" s="71"/>
      <c r="H28" s="83"/>
      <c r="T28" s="206" t="s">
        <v>184</v>
      </c>
      <c r="U28" s="207" t="s">
        <v>182</v>
      </c>
      <c r="V28" s="207" t="s">
        <v>183</v>
      </c>
      <c r="W28" s="175"/>
      <c r="X28" s="199" t="s">
        <v>134</v>
      </c>
      <c r="Y28" s="175">
        <f>IF(LEN(B28)&gt;0,MATCH(B28,T28:V28,0),0)</f>
        <v>0</v>
      </c>
      <c r="Z28" s="175"/>
      <c r="AA28" s="177"/>
      <c r="AB28" s="177">
        <f>IF(Y28=1,1,0)</f>
        <v>0</v>
      </c>
      <c r="AC28" s="177">
        <f>IF(Y28=2,1,0)</f>
        <v>0</v>
      </c>
      <c r="AD28" s="178"/>
    </row>
    <row r="29" spans="1:30" x14ac:dyDescent="0.2">
      <c r="A29" s="70"/>
      <c r="B29" s="58"/>
      <c r="C29" s="278" t="s">
        <v>64</v>
      </c>
      <c r="D29" s="152"/>
      <c r="E29" s="81" t="str">
        <f>IF(LEN(B29)=0,"O","")</f>
        <v>O</v>
      </c>
      <c r="F29" s="307"/>
      <c r="G29" s="71"/>
      <c r="H29" s="83"/>
      <c r="T29" s="279" t="s">
        <v>200</v>
      </c>
      <c r="U29" s="208" t="s">
        <v>61</v>
      </c>
      <c r="V29" s="208" t="s">
        <v>62</v>
      </c>
      <c r="W29" s="208" t="s">
        <v>63</v>
      </c>
      <c r="X29" s="199" t="s">
        <v>133</v>
      </c>
      <c r="Y29" s="175">
        <f>IF(LEN(B29)&gt;0,MATCH(B29,T29:W29,0),0)</f>
        <v>0</v>
      </c>
      <c r="Z29" s="175"/>
      <c r="AA29" s="177"/>
      <c r="AB29" s="177"/>
      <c r="AC29" s="177"/>
      <c r="AD29" s="178"/>
    </row>
    <row r="30" spans="1:30" x14ac:dyDescent="0.2">
      <c r="A30" s="70"/>
      <c r="B30" s="58"/>
      <c r="C30" s="237" t="s">
        <v>60</v>
      </c>
      <c r="D30" s="80"/>
      <c r="E30" s="81" t="str">
        <f>IF(AND(LEN(B30)=0,Y29&gt;1),"O","")</f>
        <v/>
      </c>
      <c r="F30" s="307" t="str">
        <f>IF(AND(Z15=0,Y29=1),"This variable is not needed when the sidewalk presence / width variable is set to ‘None’.","")</f>
        <v/>
      </c>
      <c r="G30" s="71"/>
      <c r="H30" s="83"/>
      <c r="T30" s="209" t="s">
        <v>26</v>
      </c>
      <c r="U30" s="208" t="s">
        <v>27</v>
      </c>
      <c r="V30" s="175"/>
      <c r="W30" s="175"/>
      <c r="X30" s="199" t="s">
        <v>134</v>
      </c>
      <c r="Y30" s="175">
        <f>IF(LEN(B30)&gt;0,MATCH(B30,T30:U30,0),0)</f>
        <v>0</v>
      </c>
      <c r="Z30" s="175"/>
      <c r="AA30" s="177"/>
      <c r="AB30" s="177"/>
      <c r="AC30" s="177"/>
      <c r="AD30" s="178"/>
    </row>
    <row r="31" spans="1:30" x14ac:dyDescent="0.2">
      <c r="A31" s="70"/>
      <c r="B31" s="58"/>
      <c r="C31" s="254" t="s">
        <v>115</v>
      </c>
      <c r="D31" s="100"/>
      <c r="E31" s="81" t="str">
        <f>IF(LEN(B31)=0,"O","")</f>
        <v>O</v>
      </c>
      <c r="F31" s="307" t="str">
        <f>IF(Z15=0,IF(AB31=1,"Closest 50th",IF(AC31=1,"Rounded-Down 85th","")),"")</f>
        <v/>
      </c>
      <c r="G31" s="71"/>
      <c r="H31" s="83"/>
      <c r="T31" s="174" t="s">
        <v>0</v>
      </c>
      <c r="U31" s="175" t="s">
        <v>21</v>
      </c>
      <c r="V31" s="175" t="s">
        <v>22</v>
      </c>
      <c r="W31" s="175"/>
      <c r="X31" s="199" t="s">
        <v>134</v>
      </c>
      <c r="Y31" s="175">
        <f>IF(LEN(B31)&gt;0,MATCH(B31,T31:V31,0),0)</f>
        <v>0</v>
      </c>
      <c r="Z31" s="175"/>
      <c r="AA31" s="177"/>
      <c r="AB31" s="177">
        <f>IF(AND(Y31&lt;3,OR(Y29=1,AND(Y29=2,Y30=2))),1,0)</f>
        <v>0</v>
      </c>
      <c r="AC31" s="210">
        <f>IF(OR(AND(Y31=3,Y29=1),AND(Y31=1,OR(AND(Y29=3,Y30=2),AND(Y29=2,Y30=1)))),1,0)</f>
        <v>0</v>
      </c>
      <c r="AD31" s="178"/>
    </row>
    <row r="32" spans="1:30" x14ac:dyDescent="0.2">
      <c r="A32" s="70"/>
      <c r="B32" s="58"/>
      <c r="C32" s="241" t="s">
        <v>20</v>
      </c>
      <c r="E32" s="81" t="str">
        <f>IF(LEN(B32)=0,"O","")</f>
        <v>O</v>
      </c>
      <c r="F32" s="307" t="str">
        <f>IF(AND(Z15=0,AB32=1),"Closest 50th","")</f>
        <v/>
      </c>
      <c r="G32" s="71"/>
      <c r="H32" s="83"/>
      <c r="T32" s="174" t="s">
        <v>0</v>
      </c>
      <c r="U32" s="175" t="s">
        <v>5</v>
      </c>
      <c r="V32" s="175"/>
      <c r="W32" s="175"/>
      <c r="X32" s="199" t="s">
        <v>134</v>
      </c>
      <c r="Y32" s="175">
        <f>IF(LEN(B32)&gt;0,MATCH(B32,T32:U32,0),0)</f>
        <v>0</v>
      </c>
      <c r="Z32" s="175"/>
      <c r="AA32" s="177"/>
      <c r="AB32" s="177">
        <f>IF(Y32=1,1,0)</f>
        <v>0</v>
      </c>
      <c r="AC32" s="177"/>
      <c r="AD32" s="178"/>
    </row>
    <row r="33" spans="1:30" x14ac:dyDescent="0.2">
      <c r="A33" s="70"/>
      <c r="B33" s="58"/>
      <c r="C33" s="239" t="s">
        <v>69</v>
      </c>
      <c r="D33" s="86"/>
      <c r="E33" s="81" t="str">
        <f>IF(LEN(B33)=0,"O","")</f>
        <v>O</v>
      </c>
      <c r="F33" s="307" t="str">
        <f>IF(AND(Z15=0,AC33=1),"Rounded-Down 85th","")</f>
        <v/>
      </c>
      <c r="G33" s="71"/>
      <c r="H33" s="83"/>
      <c r="T33" s="174" t="s">
        <v>2</v>
      </c>
      <c r="U33" s="175" t="s">
        <v>4</v>
      </c>
      <c r="V33" s="175"/>
      <c r="W33" s="175"/>
      <c r="X33" s="199" t="s">
        <v>134</v>
      </c>
      <c r="Y33" s="175">
        <f>IF(LEN(B33)&gt;0,MATCH(B33,T33:U33,0),0)</f>
        <v>0</v>
      </c>
      <c r="Z33" s="175"/>
      <c r="AA33" s="177"/>
      <c r="AB33" s="177"/>
      <c r="AC33" s="177">
        <f>IF(Y33=1,1,0)</f>
        <v>0</v>
      </c>
      <c r="AD33" s="178"/>
    </row>
    <row r="34" spans="1:30" x14ac:dyDescent="0.2">
      <c r="A34" s="70"/>
      <c r="B34" s="58"/>
      <c r="C34" s="239" t="s">
        <v>70</v>
      </c>
      <c r="D34" s="86"/>
      <c r="E34" s="81" t="str">
        <f>IF(LEN(B34)=0,"O","")</f>
        <v>O</v>
      </c>
      <c r="F34" s="307" t="str">
        <f>IF(Z15=0,IF(AB34=1,"Closest 50th",IF(AC34=1,"Rounded-Down 85th","")),"")</f>
        <v/>
      </c>
      <c r="G34" s="71"/>
      <c r="H34" s="83"/>
      <c r="T34" s="174" t="s">
        <v>23</v>
      </c>
      <c r="U34" s="175" t="s">
        <v>24</v>
      </c>
      <c r="V34" s="175" t="s">
        <v>4</v>
      </c>
      <c r="W34" s="175"/>
      <c r="X34" s="199" t="s">
        <v>134</v>
      </c>
      <c r="Y34" s="175">
        <f>IF(LEN(B34)&gt;0,MATCH(B34,T34:V34,0),0)</f>
        <v>0</v>
      </c>
      <c r="Z34" s="175"/>
      <c r="AA34" s="177"/>
      <c r="AB34" s="177">
        <f>IF(Y34=1,1,0)</f>
        <v>0</v>
      </c>
      <c r="AC34" s="177">
        <f>IF(Y34=2,1,0)</f>
        <v>0</v>
      </c>
      <c r="AD34" s="178"/>
    </row>
    <row r="35" spans="1:30" ht="13.5" thickBot="1" x14ac:dyDescent="0.25">
      <c r="A35" s="70"/>
      <c r="B35" s="113"/>
      <c r="C35" s="250" t="s">
        <v>71</v>
      </c>
      <c r="D35" s="101"/>
      <c r="E35" s="99" t="str">
        <f>""</f>
        <v/>
      </c>
      <c r="F35" s="308" t="str">
        <f>IF(AND(Z15=0,Y35=1),"Consider location-specific advisory speed warnings.","")</f>
        <v/>
      </c>
      <c r="G35" s="71"/>
      <c r="H35" s="83"/>
      <c r="T35" s="195" t="s">
        <v>2</v>
      </c>
      <c r="U35" s="196" t="s">
        <v>4</v>
      </c>
      <c r="V35" s="186"/>
      <c r="W35" s="186"/>
      <c r="X35" s="203" t="s">
        <v>134</v>
      </c>
      <c r="Y35" s="186">
        <f>IF(LEN(B35)&gt;0,MATCH(B35,T35:U35,0),0)</f>
        <v>0</v>
      </c>
      <c r="Z35" s="186"/>
      <c r="AA35" s="187"/>
      <c r="AB35" s="187"/>
      <c r="AC35" s="187"/>
      <c r="AD35" s="188"/>
    </row>
    <row r="36" spans="1:30" ht="13.5" thickBot="1" x14ac:dyDescent="0.25">
      <c r="A36" s="70"/>
      <c r="B36" s="103"/>
      <c r="C36" s="104"/>
      <c r="D36" s="104"/>
      <c r="E36" s="105"/>
      <c r="F36" s="106"/>
      <c r="G36" s="71"/>
      <c r="T36" s="174"/>
      <c r="U36" s="175"/>
      <c r="V36" s="175"/>
      <c r="W36" s="175"/>
      <c r="X36" s="175"/>
      <c r="Y36" s="175"/>
      <c r="Z36" s="175"/>
      <c r="AA36" s="177"/>
      <c r="AB36" s="177"/>
      <c r="AC36" s="177"/>
      <c r="AD36" s="178"/>
    </row>
    <row r="37" spans="1:30" x14ac:dyDescent="0.2">
      <c r="A37" s="70"/>
      <c r="B37" s="74" t="s">
        <v>17</v>
      </c>
      <c r="C37" s="75"/>
      <c r="D37" s="75"/>
      <c r="E37" s="76"/>
      <c r="F37" s="93" t="s">
        <v>215</v>
      </c>
      <c r="G37" s="71"/>
      <c r="T37" s="197"/>
      <c r="U37" s="175"/>
      <c r="V37" s="175"/>
      <c r="W37" s="175"/>
      <c r="X37" s="175"/>
      <c r="Y37" s="180"/>
      <c r="Z37" s="180"/>
      <c r="AA37" s="198"/>
      <c r="AB37" s="198"/>
      <c r="AC37" s="198"/>
      <c r="AD37" s="178"/>
    </row>
    <row r="38" spans="1:30" x14ac:dyDescent="0.2">
      <c r="A38" s="70"/>
      <c r="B38" s="62"/>
      <c r="C38" s="245" t="s">
        <v>11</v>
      </c>
      <c r="D38" s="1"/>
      <c r="E38" s="81" t="str">
        <f>IF(AND(Y5&lt;&gt;2,ISNUMBER(B38)=FALSE),"O","")</f>
        <v>O</v>
      </c>
      <c r="F38" s="306" t="str">
        <f>IF(Z15=0,IF(Y5=1,IF(B38&lt;=1,"Calculations based on 1 year of crash data or less and should be interpreted with caution.", IF(B38&lt;3,"Consider collecting at least 3 years of crash data.", "")),"These variables are not needed because crash data are not available."),"")</f>
        <v/>
      </c>
      <c r="G38" s="71"/>
      <c r="H38" s="83"/>
      <c r="T38" s="174"/>
      <c r="U38" s="175"/>
      <c r="V38" s="175"/>
      <c r="W38" s="175"/>
      <c r="X38" s="199" t="str">
        <f>IF(AND(Y5=1,B38&lt;=1),"W","A")</f>
        <v>A</v>
      </c>
      <c r="Y38" s="175">
        <f>MAX(B38,0.1)</f>
        <v>0.1</v>
      </c>
      <c r="Z38" s="175">
        <f>COUNTIF(E38:E47,"O")</f>
        <v>4</v>
      </c>
      <c r="AA38" s="177"/>
      <c r="AB38" s="177"/>
      <c r="AC38" s="177"/>
      <c r="AD38" s="178"/>
    </row>
    <row r="39" spans="1:30" x14ac:dyDescent="0.2">
      <c r="A39" s="70"/>
      <c r="B39" s="64"/>
      <c r="C39" s="251" t="s">
        <v>43</v>
      </c>
      <c r="D39" s="107"/>
      <c r="E39" s="81" t="str">
        <f>IF(AND(Y5&lt;&gt;2,ISNUMBER(B39)=FALSE),"O","")</f>
        <v>O</v>
      </c>
      <c r="F39" s="307" t="str">
        <f>IF(AND(Z15=0,Y5=1,OR(B42&gt;D46,B43&gt;D47)),"Critical rates should be higher than average rates.","")</f>
        <v/>
      </c>
      <c r="G39" s="71"/>
      <c r="H39" s="83"/>
      <c r="T39" s="174"/>
      <c r="U39" s="175"/>
      <c r="V39" s="175"/>
      <c r="W39" s="175"/>
      <c r="X39" s="199" t="s">
        <v>132</v>
      </c>
      <c r="Y39" s="200">
        <f>MAX(B39,1)</f>
        <v>1</v>
      </c>
      <c r="Z39" s="175">
        <f>365*Y38*Y39*Y23/10^8</f>
        <v>3.6500000000000003E-8</v>
      </c>
      <c r="AA39" s="177"/>
      <c r="AB39" s="177"/>
      <c r="AC39" s="177"/>
      <c r="AD39" s="178"/>
    </row>
    <row r="40" spans="1:30" x14ac:dyDescent="0.2">
      <c r="A40" s="70"/>
      <c r="B40" s="62"/>
      <c r="C40" s="247" t="s">
        <v>88</v>
      </c>
      <c r="D40" s="83"/>
      <c r="E40" s="81" t="str">
        <f>IF(AND(Y5&lt;&gt;2,ISNUMBER(B40)=FALSE),"O","")</f>
        <v>O</v>
      </c>
      <c r="F40" s="307" t="str">
        <f>IF(AND(Y5=1,Z38=0,ISNUMBER(B40)),"Observed KABCO crash rate = " &amp; ROUND(Z40,1) &amp; " crashes / 100 MVMT","")</f>
        <v/>
      </c>
      <c r="G40" s="71"/>
      <c r="H40" s="83"/>
      <c r="T40" s="174"/>
      <c r="U40" s="175"/>
      <c r="V40" s="175"/>
      <c r="W40" s="175"/>
      <c r="X40" s="181" t="s">
        <v>136</v>
      </c>
      <c r="Y40" s="175"/>
      <c r="Z40" s="175">
        <f>B40/Z$39</f>
        <v>0</v>
      </c>
      <c r="AA40" s="177"/>
      <c r="AB40" s="177"/>
      <c r="AC40" s="177"/>
      <c r="AD40" s="178"/>
    </row>
    <row r="41" spans="1:30" x14ac:dyDescent="0.2">
      <c r="A41" s="70"/>
      <c r="B41" s="62"/>
      <c r="C41" s="244" t="s">
        <v>82</v>
      </c>
      <c r="D41" s="97"/>
      <c r="E41" s="81" t="str">
        <f>IF(AND(Y5&lt;&gt;2,ISNUMBER(B41)=FALSE),"O","")</f>
        <v>O</v>
      </c>
      <c r="F41" s="307" t="str">
        <f>IF(AND(Y5=1,Z38=0),IF(AND(ISNUMBER(B41),B41&lt;=B40),"Observed KABC crash rate = " &amp; ROUND(Z41,1) &amp; " crashes / 100 MVMT","The number of KABC crashes must be less than or equal to the number of KABCO crashes."),"")</f>
        <v/>
      </c>
      <c r="G41" s="71"/>
      <c r="H41" s="83"/>
      <c r="T41" s="174"/>
      <c r="U41" s="175"/>
      <c r="V41" s="175"/>
      <c r="W41" s="175"/>
      <c r="X41" s="175" t="str">
        <f>IF(B41&lt;=B40,"C","W")</f>
        <v>C</v>
      </c>
      <c r="Y41" s="175"/>
      <c r="Z41" s="175">
        <f>B41/Z$39</f>
        <v>0</v>
      </c>
      <c r="AA41" s="177"/>
      <c r="AB41" s="177"/>
      <c r="AC41" s="177"/>
      <c r="AD41" s="178"/>
    </row>
    <row r="42" spans="1:30" x14ac:dyDescent="0.2">
      <c r="A42" s="70"/>
      <c r="B42" s="66"/>
      <c r="C42" s="244" t="s">
        <v>85</v>
      </c>
      <c r="D42" s="97"/>
      <c r="E42" s="81" t="str">
        <f>""</f>
        <v/>
      </c>
      <c r="F42" s="307" t="str">
        <f>IF(AND(Y5=1,Z38=0),IF(ISBLANK(B42),'Support Tables'!F20&amp;IF(ISBLANK('Support Tables'!F20),"A"," a")&amp;"verage KABCO crash rate = " &amp; ROUND(Z42,1) &amp; " crashes / 100 MVMT","Average KABCO crash rate for agency &amp; region (provided by user)"),"")</f>
        <v/>
      </c>
      <c r="G42" s="71"/>
      <c r="H42" s="83"/>
      <c r="T42" s="294" t="s">
        <v>48</v>
      </c>
      <c r="U42" s="293" t="s">
        <v>47</v>
      </c>
      <c r="V42" s="293" t="s">
        <v>47</v>
      </c>
      <c r="W42" s="293" t="s">
        <v>101</v>
      </c>
      <c r="X42" s="181" t="s">
        <v>136</v>
      </c>
      <c r="Y42" s="175" cm="1">
        <f t="array" ref="Y42">IF(OR(AND(B24=2,Y25=1),Y25=0),2,INDEX(T42:W42,1,Y25))</f>
        <v>2</v>
      </c>
      <c r="Z42" s="175">
        <f>IF(LEN(B42)&gt;0,B42,VLOOKUP(Y39,'Support Tables'!G31:K42,MATCH(Y42,'Support Tables'!G31:K31,0),TRUE))</f>
        <v>193.43</v>
      </c>
      <c r="AA42" s="177"/>
      <c r="AB42" s="177"/>
      <c r="AC42" s="177"/>
      <c r="AD42" s="178"/>
    </row>
    <row r="43" spans="1:30" x14ac:dyDescent="0.2">
      <c r="A43" s="70"/>
      <c r="B43" s="66"/>
      <c r="C43" s="244" t="s">
        <v>83</v>
      </c>
      <c r="D43" s="97"/>
      <c r="E43" s="81" t="str">
        <f>""</f>
        <v/>
      </c>
      <c r="F43" s="307" t="str">
        <f>IF(AND(Y5=1,Z38=0),IF(ISBLANK(B43),'Support Tables'!F20&amp;IF(ISBLANK('Support Tables'!F20),"A"," a")&amp;"verage KABC crash rate = " &amp; ROUND(Z43,1) &amp; " crashes / 100 MVMT","Average KABC crash rate for agency &amp; region (provided by user)"),"")</f>
        <v/>
      </c>
      <c r="G43" s="71"/>
      <c r="H43" s="83"/>
      <c r="T43" s="174"/>
      <c r="U43" s="175"/>
      <c r="V43" s="175"/>
      <c r="W43" s="175"/>
      <c r="X43" s="181" t="s">
        <v>136</v>
      </c>
      <c r="Y43" s="175"/>
      <c r="Z43" s="175">
        <f>IF(LEN(B43)&gt;0,B43,VLOOKUP(Y39,'Support Tables'!L31:P42,MATCH(Y42,'Support Tables'!L31:P31,0),TRUE))</f>
        <v>70.040000000000006</v>
      </c>
      <c r="AA43" s="175"/>
      <c r="AB43" s="175"/>
      <c r="AC43" s="175"/>
      <c r="AD43" s="178"/>
    </row>
    <row r="44" spans="1:30" x14ac:dyDescent="0.2">
      <c r="A44" s="70"/>
      <c r="B44" s="162"/>
      <c r="C44" s="167" t="s">
        <v>130</v>
      </c>
      <c r="D44" s="170" t="str">
        <f>IF(AND(B5="Yes",Z38=0),1.3*Z42,"")</f>
        <v/>
      </c>
      <c r="E44" s="81" t="str">
        <f>""</f>
        <v/>
      </c>
      <c r="F44" s="307" t="str">
        <f>IF(AND(Z15=0,SUM(AA44:AC44)=1),"Rounded-Down 85th","")</f>
        <v/>
      </c>
      <c r="G44" s="71"/>
      <c r="H44" s="83"/>
      <c r="T44" s="174"/>
      <c r="U44" s="175"/>
      <c r="V44" s="175"/>
      <c r="W44" s="175"/>
      <c r="X44" s="181" t="s">
        <v>134</v>
      </c>
      <c r="Y44" s="175"/>
      <c r="Z44" s="201"/>
      <c r="AA44" s="202"/>
      <c r="AB44" s="177"/>
      <c r="AC44" s="177">
        <f>IF(AND(Y5=1,Z40&gt;1.3*Z42,Z40&lt;D46),1,0)</f>
        <v>0</v>
      </c>
      <c r="AD44" s="178"/>
    </row>
    <row r="45" spans="1:30" x14ac:dyDescent="0.2">
      <c r="A45" s="70"/>
      <c r="B45" s="163"/>
      <c r="C45" s="167" t="s">
        <v>131</v>
      </c>
      <c r="D45" s="170" t="str">
        <f>IF(AND(B5="Yes",Z38=0),1.3*Z43,"")</f>
        <v/>
      </c>
      <c r="E45" s="81" t="str">
        <f>""</f>
        <v/>
      </c>
      <c r="F45" s="307" t="str">
        <f>IF(AND(Z15=0,SUM(AA45:AC45)=1),"Rounded-Down 85th","")</f>
        <v/>
      </c>
      <c r="G45" s="71"/>
      <c r="H45" s="83"/>
      <c r="T45" s="174"/>
      <c r="U45" s="175"/>
      <c r="V45" s="175"/>
      <c r="W45" s="175"/>
      <c r="X45" s="181" t="s">
        <v>134</v>
      </c>
      <c r="Y45" s="175"/>
      <c r="Z45" s="201"/>
      <c r="AA45" s="202"/>
      <c r="AB45" s="177"/>
      <c r="AC45" s="177">
        <f>IF(AND(Y5=1,Z41&gt;1.3*Z43,Z41&lt;D47),1,0)</f>
        <v>0</v>
      </c>
      <c r="AD45" s="178"/>
    </row>
    <row r="46" spans="1:30" x14ac:dyDescent="0.2">
      <c r="A46" s="70"/>
      <c r="B46" s="163"/>
      <c r="C46" s="168" t="s">
        <v>86</v>
      </c>
      <c r="D46" s="170" t="str">
        <f>IF(AND(B5="Yes",Z38=0),Z42+1.645*SQRT((Z42/Z39))+(1/2/Z39),"")</f>
        <v/>
      </c>
      <c r="E46" s="81" t="str">
        <f>""</f>
        <v/>
      </c>
      <c r="F46" s="307" t="str">
        <f>IF(AND(Z15=0,SUM(AA46:AC46)=1),"Closest 50th","")</f>
        <v/>
      </c>
      <c r="G46" s="71"/>
      <c r="T46" s="174"/>
      <c r="U46" s="175"/>
      <c r="V46" s="175"/>
      <c r="W46" s="175"/>
      <c r="X46" s="181" t="s">
        <v>134</v>
      </c>
      <c r="Y46" s="175"/>
      <c r="Z46" s="175"/>
      <c r="AA46" s="177"/>
      <c r="AB46" s="177">
        <f>IF(AND(Y5=1,Z40&gt;D46),1,0)</f>
        <v>0</v>
      </c>
      <c r="AC46" s="177"/>
      <c r="AD46" s="178"/>
    </row>
    <row r="47" spans="1:30" ht="13.5" thickBot="1" x14ac:dyDescent="0.25">
      <c r="A47" s="70"/>
      <c r="B47" s="164"/>
      <c r="C47" s="169" t="s">
        <v>84</v>
      </c>
      <c r="D47" s="171" t="str">
        <f>IF(AND(B5="Yes",Z38=0),Z43+1.645*SQRT((Z43/Z39))+(1/2/Z39),"")</f>
        <v/>
      </c>
      <c r="E47" s="90" t="str">
        <f>""</f>
        <v/>
      </c>
      <c r="F47" s="308" t="str">
        <f>IF(AND(Z15=0,SUM(AA47:AC47)=1),"Closest 50th","")</f>
        <v/>
      </c>
      <c r="G47" s="71"/>
      <c r="T47" s="190"/>
      <c r="U47" s="186"/>
      <c r="V47" s="186"/>
      <c r="W47" s="186"/>
      <c r="X47" s="193" t="s">
        <v>134</v>
      </c>
      <c r="Y47" s="186"/>
      <c r="Z47" s="186"/>
      <c r="AA47" s="187"/>
      <c r="AB47" s="187">
        <f>IF(AND(Y5=1,Z41&gt;D47),1,0)</f>
        <v>0</v>
      </c>
      <c r="AC47" s="187"/>
      <c r="AD47" s="188"/>
    </row>
    <row r="48" spans="1:30" ht="6" customHeight="1" thickBot="1" x14ac:dyDescent="0.25">
      <c r="A48" s="108"/>
      <c r="B48" s="109"/>
      <c r="C48" s="109"/>
      <c r="D48" s="109"/>
      <c r="E48" s="109"/>
      <c r="F48" s="109"/>
      <c r="G48" s="110"/>
    </row>
  </sheetData>
  <sheetProtection algorithmName="SHA-512" hashValue="Aaf7/KyUWgGkN9Zi9APaDG/xC987FwqgdnBMJBdg4QH0ej+rT/Qrh3jh7h8Cgdgv0zt/XJnb32MWvt9+pekXMw==" saltValue="CfTn7/g8thNePSOy9H8CcQ==" spinCount="100000" sheet="1" formatCells="0" formatColumns="0" formatRows="0"/>
  <mergeCells count="1">
    <mergeCell ref="T2:AD2"/>
  </mergeCells>
  <conditionalFormatting sqref="B30">
    <cfRule type="expression" dxfId="21" priority="41">
      <formula>$Y$29=1</formula>
    </cfRule>
  </conditionalFormatting>
  <conditionalFormatting sqref="B38:B43 D44:D47">
    <cfRule type="expression" dxfId="20" priority="47">
      <formula>$Y$5=2</formula>
    </cfRule>
  </conditionalFormatting>
  <conditionalFormatting sqref="F15 F18:F20 F23:F35 F38:F47">
    <cfRule type="expression" dxfId="19" priority="5">
      <formula>X15="W"</formula>
    </cfRule>
    <cfRule type="expression" dxfId="18" priority="38">
      <formula>X15="C"</formula>
    </cfRule>
    <cfRule type="expression" dxfId="17" priority="39">
      <formula>X15="A"</formula>
    </cfRule>
    <cfRule type="expression" dxfId="16" priority="40">
      <formula>X15="X"</formula>
    </cfRule>
  </conditionalFormatting>
  <dataValidations count="12">
    <dataValidation type="decimal" operator="greaterThanOrEqual" allowBlank="1" showInputMessage="1" showErrorMessage="1" error="Enter a positive numeric value." sqref="B23 B19:B20 B26:B27 B38:B39 B42:B43" xr:uid="{00000000-0002-0000-0300-000000000000}">
      <formula1>0</formula1>
    </dataValidation>
    <dataValidation type="whole" operator="greaterThanOrEqual" allowBlank="1" showInputMessage="1" showErrorMessage="1" error="Enter a positive numeric value." sqref="B10 B18 B24 B40:B41" xr:uid="{00000000-0002-0000-0300-000001000000}">
      <formula1>0</formula1>
    </dataValidation>
    <dataValidation type="list" allowBlank="1" showInputMessage="1" showErrorMessage="1" error="Invalid value.  Please select from the recommended options." sqref="B31" xr:uid="{00000000-0002-0000-0300-000002000000}">
      <formula1>$T$31:$V$31</formula1>
    </dataValidation>
    <dataValidation type="list" allowBlank="1" showInputMessage="1" showErrorMessage="1" error="Invalid value.  Please select from the recommended options." sqref="B28" xr:uid="{00000000-0002-0000-0300-000003000000}">
      <formula1>$T$28:$V$28</formula1>
    </dataValidation>
    <dataValidation type="list" allowBlank="1" showInputMessage="1" showErrorMessage="1" error="Invalid value.  Please select from the recommended options." sqref="B5" xr:uid="{00000000-0002-0000-0300-000005000000}">
      <formula1>$T$5:$U$5</formula1>
    </dataValidation>
    <dataValidation type="list" allowBlank="1" showInputMessage="1" showErrorMessage="1" error="Invalid value.  Please select from the recommended options." sqref="B29" xr:uid="{00000000-0002-0000-0300-000006000000}">
      <formula1>$T$29:$W$29</formula1>
    </dataValidation>
    <dataValidation type="list" allowBlank="1" showInputMessage="1" showErrorMessage="1" error="Invalid value.  Please select from the recommended options." sqref="B35" xr:uid="{00000000-0002-0000-0300-000007000000}">
      <formula1>$T$35:$U$35</formula1>
    </dataValidation>
    <dataValidation type="list" allowBlank="1" showInputMessage="1" showErrorMessage="1" error="Invalid value.  Please select from the recommended options." sqref="B34" xr:uid="{00000000-0002-0000-0300-000008000000}">
      <formula1>$T$34:$V$34</formula1>
    </dataValidation>
    <dataValidation type="list" allowBlank="1" showInputMessage="1" showErrorMessage="1" error="Invalid value.  Please select from the recommended options." sqref="B33" xr:uid="{00000000-0002-0000-0300-000009000000}">
      <formula1>$T$33:$U$33</formula1>
    </dataValidation>
    <dataValidation type="list" allowBlank="1" showInputMessage="1" showErrorMessage="1" error="Invalid value.  Please select from the recommended options." sqref="B32" xr:uid="{00000000-0002-0000-0300-00000A000000}">
      <formula1>$T$32:$U$32</formula1>
    </dataValidation>
    <dataValidation type="list" allowBlank="1" showInputMessage="1" showErrorMessage="1" error="Invalid value.  Please select from the recommended options." sqref="B30" xr:uid="{00000000-0002-0000-0300-00000B000000}">
      <formula1>$T$30:$U$30</formula1>
    </dataValidation>
    <dataValidation type="list" allowBlank="1" showInputMessage="1" showErrorMessage="1" error="Invalid value.  Please select from the recommended options." sqref="B25" xr:uid="{00000000-0002-0000-0300-00000C000000}">
      <formula1>$T$25:$W$25</formula1>
    </dataValidation>
  </dataValidations>
  <pageMargins left="0.7" right="0.7" top="0.75" bottom="0.75" header="0.3" footer="0.3"/>
  <pageSetup orientation="portrait" horizontalDpi="4294967293" verticalDpi="300" r:id="rId1"/>
  <ignoredErrors>
    <ignoredError sqref="E25 E3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92D050"/>
  </sheetPr>
  <dimension ref="A1:AD43"/>
  <sheetViews>
    <sheetView showGridLines="0" zoomScaleNormal="100" workbookViewId="0">
      <pane ySplit="3" topLeftCell="A4" activePane="bottomLeft" state="frozen"/>
      <selection pane="bottomLeft" activeCell="D15" sqref="D15"/>
    </sheetView>
  </sheetViews>
  <sheetFormatPr defaultColWidth="9.140625" defaultRowHeight="12.75" x14ac:dyDescent="0.2"/>
  <cols>
    <col min="1" max="1" width="1.140625" style="3" customWidth="1"/>
    <col min="2" max="2" width="25.7109375" style="3" bestFit="1" customWidth="1"/>
    <col min="3" max="3" width="31.42578125" style="3" customWidth="1"/>
    <col min="4" max="4" width="14.28515625" style="3" customWidth="1"/>
    <col min="5" max="5" width="3.7109375" style="3" customWidth="1"/>
    <col min="6" max="6" width="87.28515625" style="3" customWidth="1"/>
    <col min="7" max="7" width="1.28515625" style="3" customWidth="1"/>
    <col min="8" max="24" width="9.140625" style="3" customWidth="1"/>
    <col min="25" max="25" width="9.140625" style="3"/>
    <col min="26" max="26" width="10" style="3" bestFit="1" customWidth="1"/>
    <col min="27" max="27" width="10" style="114" customWidth="1"/>
    <col min="28" max="29" width="9.140625" style="114"/>
    <col min="30" max="30" width="9.140625" style="114" customWidth="1"/>
    <col min="31" max="31" width="9.140625" style="3" customWidth="1"/>
    <col min="32" max="32" width="14.42578125" style="3" customWidth="1"/>
    <col min="33" max="37" width="13.7109375" style="3" customWidth="1"/>
    <col min="38" max="39" width="9.140625" style="3" customWidth="1"/>
    <col min="40" max="16384" width="9.140625" style="3"/>
  </cols>
  <sheetData>
    <row r="1" spans="1:30" ht="6" customHeight="1" thickTop="1" thickBot="1" x14ac:dyDescent="0.25">
      <c r="A1" s="67"/>
      <c r="B1" s="68"/>
      <c r="C1" s="68"/>
      <c r="D1" s="68"/>
      <c r="E1" s="68"/>
      <c r="F1" s="68"/>
      <c r="G1" s="69"/>
    </row>
    <row r="2" spans="1:30" ht="13.5" thickBot="1" x14ac:dyDescent="0.25">
      <c r="A2" s="70"/>
      <c r="B2" s="149" t="s">
        <v>214</v>
      </c>
      <c r="C2" s="150"/>
      <c r="D2" s="150"/>
      <c r="E2" s="150"/>
      <c r="F2" s="151"/>
      <c r="G2" s="71"/>
      <c r="T2" s="322" t="s">
        <v>124</v>
      </c>
      <c r="U2" s="323"/>
      <c r="V2" s="323"/>
      <c r="W2" s="323"/>
      <c r="X2" s="323"/>
      <c r="Y2" s="323"/>
      <c r="Z2" s="323"/>
      <c r="AA2" s="323"/>
      <c r="AB2" s="323"/>
      <c r="AC2" s="323"/>
      <c r="AD2" s="324"/>
    </row>
    <row r="3" spans="1:30" ht="13.15" customHeight="1" thickBot="1" x14ac:dyDescent="0.25">
      <c r="A3" s="70"/>
      <c r="B3" s="157" t="s">
        <v>180</v>
      </c>
      <c r="C3" s="157" t="s">
        <v>14</v>
      </c>
      <c r="D3" s="157" t="s">
        <v>181</v>
      </c>
      <c r="G3" s="71"/>
      <c r="T3" s="174"/>
      <c r="U3" s="175"/>
      <c r="V3" s="175"/>
      <c r="W3" s="175"/>
      <c r="X3" s="176"/>
      <c r="Y3" s="175"/>
      <c r="Z3" s="175"/>
      <c r="AA3" s="177"/>
      <c r="AB3" s="177"/>
      <c r="AC3" s="177"/>
      <c r="AD3" s="178"/>
    </row>
    <row r="4" spans="1:30" x14ac:dyDescent="0.2">
      <c r="A4" s="70"/>
      <c r="B4" s="122" t="s">
        <v>28</v>
      </c>
      <c r="C4" s="75"/>
      <c r="D4" s="75"/>
      <c r="E4" s="76"/>
      <c r="F4" s="77" t="s">
        <v>68</v>
      </c>
      <c r="G4" s="71"/>
      <c r="T4" s="179" t="s">
        <v>123</v>
      </c>
      <c r="U4" s="180"/>
      <c r="V4" s="180"/>
      <c r="W4" s="176"/>
      <c r="X4" s="181" t="s">
        <v>135</v>
      </c>
      <c r="Y4" s="175" t="s">
        <v>35</v>
      </c>
      <c r="Z4" s="175" t="s">
        <v>39</v>
      </c>
      <c r="AA4" s="177" t="s">
        <v>76</v>
      </c>
      <c r="AB4" s="177" t="s">
        <v>36</v>
      </c>
      <c r="AC4" s="177" t="s">
        <v>37</v>
      </c>
      <c r="AD4" s="182" t="s">
        <v>38</v>
      </c>
    </row>
    <row r="5" spans="1:30" x14ac:dyDescent="0.2">
      <c r="A5" s="70"/>
      <c r="B5" s="112"/>
      <c r="C5" s="239" t="s">
        <v>67</v>
      </c>
      <c r="D5" s="86"/>
      <c r="E5" s="81" t="str">
        <f>IF(LEN(B5)&gt;0,"","O")</f>
        <v>O</v>
      </c>
      <c r="F5" s="82" t="s">
        <v>72</v>
      </c>
      <c r="G5" s="71"/>
      <c r="H5" s="83"/>
      <c r="T5" s="183" t="s">
        <v>2</v>
      </c>
      <c r="U5" s="184" t="s">
        <v>4</v>
      </c>
      <c r="V5" s="180"/>
      <c r="W5" s="176"/>
      <c r="X5" s="176"/>
      <c r="Y5" s="175">
        <f>IF(LEN(B5)&gt;0,MATCH(B5,T5:U5,0),0)</f>
        <v>0</v>
      </c>
      <c r="Z5" s="175"/>
      <c r="AA5" s="177"/>
      <c r="AB5" s="177"/>
      <c r="AC5" s="177"/>
      <c r="AD5" s="178"/>
    </row>
    <row r="6" spans="1:30" x14ac:dyDescent="0.2">
      <c r="A6" s="70"/>
      <c r="B6" s="143"/>
      <c r="C6" s="240" t="s">
        <v>148</v>
      </c>
      <c r="D6" s="142"/>
      <c r="E6" s="88" t="str">
        <f>""</f>
        <v/>
      </c>
      <c r="F6" s="84" t="s">
        <v>73</v>
      </c>
      <c r="G6" s="71"/>
      <c r="H6" s="83"/>
      <c r="T6" s="174"/>
      <c r="U6" s="175"/>
      <c r="V6" s="175"/>
      <c r="W6" s="175"/>
      <c r="X6" s="175"/>
      <c r="Y6" s="175"/>
      <c r="Z6" s="175"/>
      <c r="AA6" s="177"/>
      <c r="AB6" s="177"/>
      <c r="AC6" s="177"/>
      <c r="AD6" s="178"/>
    </row>
    <row r="7" spans="1:30" x14ac:dyDescent="0.2">
      <c r="A7" s="70"/>
      <c r="B7" s="59"/>
      <c r="C7" s="241" t="s">
        <v>29</v>
      </c>
      <c r="E7" s="88" t="str">
        <f>""</f>
        <v/>
      </c>
      <c r="F7" s="87" t="s">
        <v>80</v>
      </c>
      <c r="G7" s="71"/>
      <c r="H7" s="83"/>
      <c r="T7" s="174"/>
      <c r="U7" s="175"/>
      <c r="V7" s="175"/>
      <c r="W7" s="175"/>
      <c r="X7" s="175"/>
      <c r="Y7" s="175"/>
      <c r="Z7" s="175"/>
      <c r="AA7" s="177"/>
      <c r="AB7" s="177"/>
      <c r="AC7" s="177"/>
      <c r="AD7" s="178"/>
    </row>
    <row r="8" spans="1:30" x14ac:dyDescent="0.2">
      <c r="A8" s="70"/>
      <c r="B8" s="143"/>
      <c r="C8" s="242" t="s">
        <v>41</v>
      </c>
      <c r="D8" s="4"/>
      <c r="E8" s="88" t="str">
        <f>""</f>
        <v/>
      </c>
      <c r="F8" s="148" t="s">
        <v>174</v>
      </c>
      <c r="G8" s="71"/>
      <c r="H8" s="83"/>
      <c r="T8" s="174"/>
      <c r="U8" s="175"/>
      <c r="V8" s="175"/>
      <c r="W8" s="175"/>
      <c r="X8" s="175"/>
      <c r="Y8" s="175"/>
      <c r="Z8" s="175"/>
      <c r="AA8" s="177"/>
      <c r="AB8" s="177"/>
      <c r="AC8" s="177"/>
      <c r="AD8" s="178"/>
    </row>
    <row r="9" spans="1:30" x14ac:dyDescent="0.2">
      <c r="A9" s="70"/>
      <c r="B9" s="60"/>
      <c r="C9" s="242" t="s">
        <v>14</v>
      </c>
      <c r="D9" s="4"/>
      <c r="E9" s="88" t="str">
        <f>""</f>
        <v/>
      </c>
      <c r="F9" s="147" t="s">
        <v>173</v>
      </c>
      <c r="G9" s="71"/>
      <c r="H9" s="83"/>
      <c r="T9" s="174"/>
      <c r="U9" s="175"/>
      <c r="V9" s="175"/>
      <c r="W9" s="175"/>
      <c r="X9" s="175"/>
      <c r="Y9" s="175"/>
      <c r="Z9" s="175"/>
      <c r="AA9" s="177"/>
      <c r="AB9" s="177"/>
      <c r="AC9" s="177"/>
      <c r="AD9" s="178"/>
    </row>
    <row r="10" spans="1:30" x14ac:dyDescent="0.2">
      <c r="A10" s="70"/>
      <c r="B10" s="61"/>
      <c r="C10" s="237" t="s">
        <v>49</v>
      </c>
      <c r="D10" s="80"/>
      <c r="E10" s="88" t="str">
        <f>""</f>
        <v/>
      </c>
      <c r="F10" s="89" t="s">
        <v>75</v>
      </c>
      <c r="G10" s="71"/>
      <c r="H10" s="83"/>
      <c r="T10" s="174"/>
      <c r="U10" s="175"/>
      <c r="V10" s="175"/>
      <c r="W10" s="175"/>
      <c r="X10" s="175"/>
      <c r="Y10" s="175"/>
      <c r="Z10" s="175"/>
      <c r="AA10" s="177"/>
      <c r="AB10" s="177"/>
      <c r="AC10" s="177"/>
      <c r="AD10" s="178"/>
    </row>
    <row r="11" spans="1:30" ht="13.15" customHeight="1" thickBot="1" x14ac:dyDescent="0.25">
      <c r="A11" s="70"/>
      <c r="B11" s="139"/>
      <c r="C11" s="243" t="s">
        <v>30</v>
      </c>
      <c r="D11" s="7"/>
      <c r="E11" s="90" t="str">
        <f>""</f>
        <v/>
      </c>
      <c r="F11" s="140" t="s">
        <v>171</v>
      </c>
      <c r="G11" s="71"/>
      <c r="H11" s="83"/>
      <c r="T11" s="185"/>
      <c r="U11" s="186"/>
      <c r="V11" s="186"/>
      <c r="W11" s="186"/>
      <c r="X11" s="186"/>
      <c r="Y11" s="186"/>
      <c r="Z11" s="186"/>
      <c r="AA11" s="187"/>
      <c r="AB11" s="187"/>
      <c r="AC11" s="187"/>
      <c r="AD11" s="188"/>
    </row>
    <row r="12" spans="1:30" ht="13.15" customHeight="1" thickBot="1" x14ac:dyDescent="0.25">
      <c r="A12" s="70"/>
      <c r="B12" s="92"/>
      <c r="C12" s="4"/>
      <c r="D12" s="4"/>
      <c r="E12" s="88"/>
      <c r="F12" s="4"/>
      <c r="G12" s="71"/>
      <c r="T12" s="174"/>
      <c r="U12" s="175"/>
      <c r="V12" s="175"/>
      <c r="W12" s="175"/>
      <c r="X12" s="175"/>
      <c r="Y12" s="175"/>
      <c r="Z12" s="175"/>
      <c r="AA12" s="177"/>
      <c r="AB12" s="177"/>
      <c r="AC12" s="177"/>
      <c r="AD12" s="178"/>
    </row>
    <row r="13" spans="1:30" x14ac:dyDescent="0.2">
      <c r="A13" s="70"/>
      <c r="B13" s="74" t="s">
        <v>74</v>
      </c>
      <c r="C13" s="104"/>
      <c r="D13" s="75"/>
      <c r="E13" s="76"/>
      <c r="F13" s="93" t="s">
        <v>215</v>
      </c>
      <c r="G13" s="71"/>
      <c r="T13" s="174"/>
      <c r="U13" s="175"/>
      <c r="V13" s="175"/>
      <c r="W13" s="175"/>
      <c r="X13" s="175"/>
      <c r="Y13" s="175"/>
      <c r="Z13" s="175"/>
      <c r="AA13" s="175">
        <f>SUM(AA21:AA42)</f>
        <v>0</v>
      </c>
      <c r="AB13" s="175">
        <f>SUM(AB21:AB42)</f>
        <v>0</v>
      </c>
      <c r="AC13" s="175">
        <f>SUM(AC21:AC42)</f>
        <v>0</v>
      </c>
      <c r="AD13" s="189">
        <f>SUM(AA21:AC30)</f>
        <v>0</v>
      </c>
    </row>
    <row r="14" spans="1:30" x14ac:dyDescent="0.2">
      <c r="A14" s="70"/>
      <c r="B14" s="275"/>
      <c r="C14" s="276" t="s">
        <v>117</v>
      </c>
      <c r="D14" s="277" t="s">
        <v>7</v>
      </c>
      <c r="E14" s="88"/>
      <c r="F14" s="273"/>
      <c r="G14" s="71"/>
      <c r="T14" s="174"/>
      <c r="U14" s="175"/>
      <c r="V14" s="175"/>
      <c r="W14" s="175"/>
      <c r="X14" s="175"/>
      <c r="Y14" s="175"/>
      <c r="Z14" s="175"/>
      <c r="AA14" s="175"/>
      <c r="AB14" s="175"/>
      <c r="AC14" s="175"/>
      <c r="AD14" s="189"/>
    </row>
    <row r="15" spans="1:30" ht="32.450000000000003" customHeight="1" thickBot="1" x14ac:dyDescent="0.25">
      <c r="A15" s="70"/>
      <c r="B15" s="164"/>
      <c r="C15" s="274" t="s">
        <v>15</v>
      </c>
      <c r="D15" s="173" t="str">
        <f>IF(Z15=0,MAX(T15,MIN(V15,MIN(U15,B18))),"")</f>
        <v/>
      </c>
      <c r="E15" s="95"/>
      <c r="F15" s="118" t="str">
        <f>IF(Z15=0,IF(V15&lt;T15,"The calculated value is below the lower value for this speed limit setting group; therefore, the suggested speed limit reflects the assumed lower value.",IF(V15&gt;U15,"The calculated value exceeds the upper value for this speed limit setting group; therefore, the suggested speed limit reflects the assumed upper value.", "This value is determined by " &amp; IF(V15&gt;B18,"the maximum speed limit.", "speed data" &amp; IF(AD13&gt;0,IF(AND(Y5=1,SUM(AA39:AC42)&gt;0),", site characteristics, &amp; crash data."," &amp; site characteristics."),IF(AND(Y5=1,SUM(AA39:AC42)&gt;0), " &amp; crash data.","."))))),"Enter values for all variables marked with O.")</f>
        <v>Enter values for all variables marked with O.</v>
      </c>
      <c r="G15" s="71"/>
      <c r="T15" s="190">
        <f>'Support Tables'!C23</f>
        <v>25</v>
      </c>
      <c r="U15" s="186">
        <f>'Support Tables'!D23</f>
        <v>70</v>
      </c>
      <c r="V15" s="186">
        <f>IF(AA13&gt;0,AA15,IF(AB13&gt;0,AB15,IF(AC13&gt;0,AC15,AD15)))</f>
        <v>0</v>
      </c>
      <c r="W15" s="186"/>
      <c r="X15" s="186" t="str">
        <f>IF(OR(V15&gt;U15,V15&lt;T15,Z15&gt;0),"W","A")</f>
        <v>W</v>
      </c>
      <c r="Y15" s="186"/>
      <c r="Z15" s="186">
        <f>COUNTIF(E5:E42,"O")</f>
        <v>14</v>
      </c>
      <c r="AA15" s="186">
        <f>5*INT(B20/5)</f>
        <v>0</v>
      </c>
      <c r="AB15" s="186">
        <f>5*INT((B20+2.5)/5)</f>
        <v>0</v>
      </c>
      <c r="AC15" s="186">
        <f>5*INT(B19/5)</f>
        <v>0</v>
      </c>
      <c r="AD15" s="191">
        <f>5*INT((B19+2.5)/5)</f>
        <v>0</v>
      </c>
    </row>
    <row r="16" spans="1:30" ht="13.5" thickBot="1" x14ac:dyDescent="0.25">
      <c r="A16" s="70"/>
      <c r="C16" s="96"/>
      <c r="D16" s="96"/>
      <c r="E16" s="88"/>
      <c r="G16" s="71"/>
      <c r="T16" s="174"/>
      <c r="U16" s="175"/>
      <c r="V16" s="175"/>
      <c r="W16" s="175"/>
      <c r="X16" s="175"/>
      <c r="Y16" s="175"/>
      <c r="Z16" s="175"/>
      <c r="AA16" s="177"/>
      <c r="AB16" s="177"/>
      <c r="AC16" s="177"/>
      <c r="AD16" s="178"/>
    </row>
    <row r="17" spans="1:30" x14ac:dyDescent="0.2">
      <c r="A17" s="70"/>
      <c r="B17" s="74" t="s">
        <v>16</v>
      </c>
      <c r="C17" s="75"/>
      <c r="D17" s="75"/>
      <c r="E17" s="76"/>
      <c r="F17" s="93" t="s">
        <v>215</v>
      </c>
      <c r="G17" s="71"/>
      <c r="T17" s="174"/>
      <c r="U17" s="175"/>
      <c r="V17" s="175"/>
      <c r="W17" s="175"/>
      <c r="X17" s="175"/>
      <c r="Y17" s="175"/>
      <c r="Z17" s="175"/>
      <c r="AA17" s="177"/>
      <c r="AB17" s="177"/>
      <c r="AC17" s="177"/>
      <c r="AD17" s="192"/>
    </row>
    <row r="18" spans="1:30" x14ac:dyDescent="0.2">
      <c r="A18" s="70"/>
      <c r="B18" s="123"/>
      <c r="C18" s="244" t="s">
        <v>81</v>
      </c>
      <c r="D18" s="97"/>
      <c r="E18" s="81" t="str">
        <f>IF(ISNUMBER(B18),"","O")</f>
        <v>O</v>
      </c>
      <c r="F18" s="306" t="str">
        <f>IF(Z15=0,IF(MOD(B18,5)&lt;&gt;0,"Speed limits must be a multiple of 5 mph.", IF(OR(B18&lt;T18,B18&gt;U18), "Enter a value between " &amp; T18 &amp; " and " &amp; U18 &amp; " mph.", IF(B18&gt;U15,"The assumed upper value for this speed limit setting group is " &amp; U15 &amp; " mph.",IF(B18&lt;T15,"The assumed lower value for this speed limit setting group is " &amp; T15 &amp; " mph.", "")))),"")</f>
        <v/>
      </c>
      <c r="G18" s="71"/>
      <c r="H18" s="83"/>
      <c r="T18" s="174">
        <f>MIN('Support Tables'!C21:C24)</f>
        <v>15</v>
      </c>
      <c r="U18" s="175">
        <f>MAX('Support Tables'!D21:D24)</f>
        <v>85</v>
      </c>
      <c r="V18" s="175"/>
      <c r="W18" s="175"/>
      <c r="X18" s="199" t="s">
        <v>132</v>
      </c>
      <c r="Y18" s="175"/>
      <c r="Z18" s="175"/>
      <c r="AA18" s="177"/>
      <c r="AB18" s="177"/>
      <c r="AC18" s="177"/>
      <c r="AD18" s="178"/>
    </row>
    <row r="19" spans="1:30" x14ac:dyDescent="0.2">
      <c r="A19" s="70"/>
      <c r="B19" s="123"/>
      <c r="C19" s="245" t="s">
        <v>1</v>
      </c>
      <c r="D19" s="1"/>
      <c r="E19" s="81" t="str">
        <f>IF(ISNUMBER(B19),"","O")</f>
        <v>O</v>
      </c>
      <c r="F19" s="307" t="str">
        <f>IF(AND(Z15=0,B19&lt;B20),"The 85th percentile must be greater than the 50th percentile.","")</f>
        <v/>
      </c>
      <c r="G19" s="71"/>
      <c r="H19" s="83"/>
      <c r="T19" s="174"/>
      <c r="U19" s="175"/>
      <c r="V19" s="175"/>
      <c r="W19" s="175"/>
      <c r="X19" s="199" t="s">
        <v>132</v>
      </c>
      <c r="Y19" s="175"/>
      <c r="Z19" s="175"/>
      <c r="AA19" s="177"/>
      <c r="AB19" s="177"/>
      <c r="AC19" s="177"/>
      <c r="AD19" s="178"/>
    </row>
    <row r="20" spans="1:30" ht="13.5" thickBot="1" x14ac:dyDescent="0.25">
      <c r="A20" s="70"/>
      <c r="B20" s="124"/>
      <c r="C20" s="246" t="s">
        <v>3</v>
      </c>
      <c r="D20" s="98"/>
      <c r="E20" s="99" t="str">
        <f>IF(ISNUMBER(B20),"","O")</f>
        <v>O</v>
      </c>
      <c r="F20" s="308" t="str">
        <f>IF(AND(Z15=0,B19=B20+1),"85th percentile is only 1 mph greater than 50th percentile.  Interpret results with caution.","")</f>
        <v/>
      </c>
      <c r="G20" s="71"/>
      <c r="H20" s="83"/>
      <c r="T20" s="190"/>
      <c r="U20" s="186"/>
      <c r="V20" s="186"/>
      <c r="W20" s="186"/>
      <c r="X20" s="203" t="s">
        <v>132</v>
      </c>
      <c r="Y20" s="186"/>
      <c r="Z20" s="186"/>
      <c r="AA20" s="187"/>
      <c r="AB20" s="187"/>
      <c r="AC20" s="187"/>
      <c r="AD20" s="188"/>
    </row>
    <row r="21" spans="1:30" ht="13.5" thickBot="1" x14ac:dyDescent="0.25">
      <c r="A21" s="70"/>
      <c r="E21" s="88"/>
      <c r="G21" s="71"/>
      <c r="T21" s="174"/>
      <c r="U21" s="175"/>
      <c r="V21" s="175"/>
      <c r="W21" s="175"/>
      <c r="X21" s="175"/>
      <c r="Y21" s="175"/>
      <c r="Z21" s="175"/>
      <c r="AA21" s="177"/>
      <c r="AB21" s="177"/>
      <c r="AC21" s="177"/>
      <c r="AD21" s="178"/>
    </row>
    <row r="22" spans="1:30" x14ac:dyDescent="0.2">
      <c r="A22" s="70"/>
      <c r="B22" s="74" t="s">
        <v>44</v>
      </c>
      <c r="C22" s="75"/>
      <c r="D22" s="75"/>
      <c r="E22" s="76"/>
      <c r="F22" s="93" t="s">
        <v>215</v>
      </c>
      <c r="G22" s="71"/>
      <c r="T22" s="174"/>
      <c r="U22" s="175"/>
      <c r="V22" s="175"/>
      <c r="W22" s="175"/>
      <c r="X22" s="175"/>
      <c r="Y22" s="175"/>
      <c r="Z22" s="175"/>
      <c r="AA22" s="177"/>
      <c r="AB22" s="177"/>
      <c r="AC22" s="177"/>
      <c r="AD22" s="178"/>
    </row>
    <row r="23" spans="1:30" x14ac:dyDescent="0.2">
      <c r="A23" s="70"/>
      <c r="B23" s="123"/>
      <c r="C23" s="247" t="s">
        <v>87</v>
      </c>
      <c r="D23" s="83"/>
      <c r="E23" s="81" t="str">
        <f>IF(ISNUMBER(B23),"","O")</f>
        <v>O</v>
      </c>
      <c r="F23" s="306" t="str">
        <f>IF(AND(Z15=0,B23&lt;Z23),"For a suggested speed limit of " &amp; D15 &amp; " mph, minimum segment length = " &amp; Z23 &amp; " mi.", "")</f>
        <v/>
      </c>
      <c r="G23" s="71"/>
      <c r="H23" s="83"/>
      <c r="T23" s="174"/>
      <c r="U23" s="175"/>
      <c r="V23" s="175"/>
      <c r="W23" s="175"/>
      <c r="X23" s="199" t="s">
        <v>132</v>
      </c>
      <c r="Y23" s="175">
        <f>MAX(B23,0.1)</f>
        <v>0.1</v>
      </c>
      <c r="Z23" s="175">
        <f>VLOOKUP(IF(Z15=0,MAX(15,MIN(85,D15)),MAX('Support Tables'!B28:B42)),'Support Tables'!B28:C42,2,FALSE)</f>
        <v>6.2</v>
      </c>
      <c r="AA23" s="177"/>
      <c r="AB23" s="177"/>
      <c r="AC23" s="177"/>
      <c r="AD23" s="178"/>
    </row>
    <row r="24" spans="1:30" x14ac:dyDescent="0.2">
      <c r="A24" s="70"/>
      <c r="B24" s="125"/>
      <c r="C24" s="248" t="s">
        <v>127</v>
      </c>
      <c r="D24" s="111"/>
      <c r="E24" s="81" t="str">
        <f>IF(ISNUMBER(B24),"","O")</f>
        <v>O</v>
      </c>
      <c r="F24" s="136"/>
      <c r="G24" s="71"/>
      <c r="H24" s="83"/>
      <c r="T24" s="174"/>
      <c r="U24" s="175"/>
      <c r="V24" s="175"/>
      <c r="W24" s="175"/>
      <c r="X24" s="199" t="s">
        <v>133</v>
      </c>
      <c r="Y24" s="175"/>
      <c r="Z24" s="175"/>
      <c r="AA24" s="177"/>
      <c r="AB24" s="177"/>
      <c r="AC24" s="177"/>
      <c r="AD24" s="194"/>
    </row>
    <row r="25" spans="1:30" x14ac:dyDescent="0.2">
      <c r="A25" s="70"/>
      <c r="B25" s="123"/>
      <c r="C25" s="248" t="s">
        <v>102</v>
      </c>
      <c r="D25" s="111"/>
      <c r="E25" s="81" t="str">
        <f>IF(ISNUMBER(B25),"","O")</f>
        <v>O</v>
      </c>
      <c r="F25" s="307" t="str">
        <f>IF(AND(Z15=0,OR(B25&lt;T25,B25&gt;U25)),"Number of lanes must be between " &amp; T25 &amp; " and " &amp; U25 &amp; ".","")</f>
        <v/>
      </c>
      <c r="G25" s="71"/>
      <c r="H25" s="83"/>
      <c r="T25" s="174">
        <v>2</v>
      </c>
      <c r="U25" s="175">
        <v>6</v>
      </c>
      <c r="V25" s="175"/>
      <c r="W25" s="175"/>
      <c r="X25" s="281" t="s">
        <v>132</v>
      </c>
      <c r="Y25" s="175"/>
      <c r="Z25" s="175"/>
      <c r="AA25" s="177"/>
      <c r="AB25" s="177"/>
      <c r="AC25" s="177"/>
      <c r="AD25" s="178"/>
    </row>
    <row r="26" spans="1:30" x14ac:dyDescent="0.2">
      <c r="A26" s="70"/>
      <c r="B26" s="65"/>
      <c r="C26" s="242" t="s">
        <v>18</v>
      </c>
      <c r="D26" s="4"/>
      <c r="E26" s="81" t="str">
        <f>IF(AND(LEN(B26)=0, B25&gt;2),"O","")</f>
        <v/>
      </c>
      <c r="F26" s="307" t="str">
        <f>IF(Z15=0,IF(B25&lt;4,"This variable is not needed if there are fewer than four lanes.",IF(AC26=1,"Rounded-Down 85th","")),"")</f>
        <v/>
      </c>
      <c r="G26" s="71"/>
      <c r="H26" s="83"/>
      <c r="T26" s="211" t="s">
        <v>42</v>
      </c>
      <c r="U26" s="205" t="s">
        <v>98</v>
      </c>
      <c r="V26" s="212"/>
      <c r="W26" s="175"/>
      <c r="X26" s="199" t="s">
        <v>134</v>
      </c>
      <c r="Y26" s="175">
        <f>IF(LEN(B26)&gt;0,MATCH(B26,T26:U26,0),0)</f>
        <v>0</v>
      </c>
      <c r="Z26" s="175"/>
      <c r="AA26" s="177"/>
      <c r="AB26" s="177"/>
      <c r="AC26" s="177">
        <f>IF(AND(B25&gt;=4,Y26=1,B24&gt;2000),1,0)</f>
        <v>0</v>
      </c>
      <c r="AD26" s="178"/>
    </row>
    <row r="27" spans="1:30" x14ac:dyDescent="0.2">
      <c r="A27" s="70"/>
      <c r="B27" s="62"/>
      <c r="C27" s="252" t="s">
        <v>121</v>
      </c>
      <c r="D27" s="94"/>
      <c r="E27" s="81" t="str">
        <f>IF(ISNUMBER(B27),"","O")</f>
        <v>O</v>
      </c>
      <c r="F27" s="307" t="str">
        <f>IF(Z15=0,IF(AB27=1,"Closest 50th",IF(AC27=1,"Rounded-Down 85th","")),"")</f>
        <v/>
      </c>
      <c r="G27" s="71"/>
      <c r="H27" s="83"/>
      <c r="T27" s="174"/>
      <c r="U27" s="175"/>
      <c r="V27" s="175"/>
      <c r="W27" s="175"/>
      <c r="X27" s="199" t="s">
        <v>134</v>
      </c>
      <c r="Y27" s="175"/>
      <c r="Z27" s="175">
        <f>B27/Y23</f>
        <v>0</v>
      </c>
      <c r="AA27" s="177"/>
      <c r="AB27" s="295">
        <f>IF(OR(AND(Z27&gt;30,OR(Y26=1,B25=2)),AND(Z27&gt;40,Y26=2)),1,0)</f>
        <v>0</v>
      </c>
      <c r="AC27" s="295">
        <f>IF(OR(AND(Z27&gt;15,Z27&lt;=30,OR(Y26=1,B25=2)),AND(Z27&gt;20,Z27&lt;=40,Y26=2)),1,0)</f>
        <v>0</v>
      </c>
      <c r="AD27" s="178"/>
    </row>
    <row r="28" spans="1:30" x14ac:dyDescent="0.2">
      <c r="A28" s="70"/>
      <c r="B28" s="62"/>
      <c r="C28" s="249" t="s">
        <v>9</v>
      </c>
      <c r="D28" s="79"/>
      <c r="E28" s="81" t="str">
        <f>IF(ISNUMBER(B28),"","O")</f>
        <v>O</v>
      </c>
      <c r="F28" s="307" t="str">
        <f>IF(Z15=0,IF(AB28=1,"Closest 50th",IF(AC28=1,"Rounded-Down 85th","")),"")</f>
        <v/>
      </c>
      <c r="G28" s="71"/>
      <c r="H28" s="83"/>
      <c r="T28" s="174"/>
      <c r="U28" s="175"/>
      <c r="V28" s="175"/>
      <c r="W28" s="175"/>
      <c r="X28" s="199" t="s">
        <v>134</v>
      </c>
      <c r="Y28" s="175"/>
      <c r="Z28" s="175"/>
      <c r="AA28" s="177"/>
      <c r="AB28" s="177">
        <f>IF(AND(B28&lt;=9,B24&gt;2000),1,0)</f>
        <v>0</v>
      </c>
      <c r="AC28" s="177">
        <f>IF(AND(B28&lt;11,B28&gt;9,B24&gt;2000),1,0)</f>
        <v>0</v>
      </c>
      <c r="AD28" s="178"/>
    </row>
    <row r="29" spans="1:30" x14ac:dyDescent="0.2">
      <c r="A29" s="70"/>
      <c r="B29" s="62"/>
      <c r="C29" s="249" t="s">
        <v>10</v>
      </c>
      <c r="D29" s="79"/>
      <c r="E29" s="81" t="str">
        <f>IF(ISNUMBER(B29),"","O")</f>
        <v>O</v>
      </c>
      <c r="F29" s="307" t="str">
        <f>IF(Z15=0,IF(AB29=1,"Closest 50th",IF(AC29=1,"Rounded-Down 85th","")),"")</f>
        <v/>
      </c>
      <c r="G29" s="71"/>
      <c r="H29" s="83"/>
      <c r="T29" s="174"/>
      <c r="U29" s="175"/>
      <c r="V29" s="175"/>
      <c r="W29" s="175"/>
      <c r="X29" s="199" t="s">
        <v>134</v>
      </c>
      <c r="Y29" s="175"/>
      <c r="Z29" s="175"/>
      <c r="AA29" s="177"/>
      <c r="AB29" s="177">
        <f>IF(AND(B24&gt;2000,B29&lt;2),1,0)</f>
        <v>0</v>
      </c>
      <c r="AC29" s="177">
        <f>IF(AND(B24&gt;2000,B29&lt;6,B29&gt;=2),1,0)</f>
        <v>0</v>
      </c>
      <c r="AD29" s="178"/>
    </row>
    <row r="30" spans="1:30" ht="13.5" thickBot="1" x14ac:dyDescent="0.25">
      <c r="A30" s="70"/>
      <c r="B30" s="113"/>
      <c r="C30" s="250" t="s">
        <v>71</v>
      </c>
      <c r="D30" s="101"/>
      <c r="E30" s="99" t="str">
        <f>""</f>
        <v/>
      </c>
      <c r="F30" s="308" t="str">
        <f>IF(AND(Z15=0,Y30=1),"Consider location-specific advisory speed warnings.","")</f>
        <v/>
      </c>
      <c r="G30" s="71"/>
      <c r="H30" s="83"/>
      <c r="T30" s="195" t="s">
        <v>2</v>
      </c>
      <c r="U30" s="196" t="s">
        <v>4</v>
      </c>
      <c r="V30" s="186"/>
      <c r="W30" s="186"/>
      <c r="X30" s="203" t="s">
        <v>134</v>
      </c>
      <c r="Y30" s="186">
        <f>IF(LEN(B30)&gt;0,MATCH(B30,T30:U30,0),0)</f>
        <v>0</v>
      </c>
      <c r="Z30" s="186"/>
      <c r="AA30" s="187"/>
      <c r="AB30" s="187"/>
      <c r="AC30" s="187"/>
      <c r="AD30" s="188"/>
    </row>
    <row r="31" spans="1:30" ht="13.5" thickBot="1" x14ac:dyDescent="0.25">
      <c r="A31" s="70"/>
      <c r="B31" s="103"/>
      <c r="C31" s="104"/>
      <c r="D31" s="104"/>
      <c r="E31" s="105"/>
      <c r="F31" s="106"/>
      <c r="G31" s="71"/>
      <c r="T31" s="174"/>
      <c r="U31" s="175"/>
      <c r="V31" s="175"/>
      <c r="W31" s="175"/>
      <c r="X31" s="175"/>
      <c r="Y31" s="175"/>
      <c r="Z31" s="175"/>
      <c r="AA31" s="177"/>
      <c r="AB31" s="177"/>
      <c r="AC31" s="177"/>
      <c r="AD31" s="178"/>
    </row>
    <row r="32" spans="1:30" x14ac:dyDescent="0.2">
      <c r="A32" s="70"/>
      <c r="B32" s="74" t="s">
        <v>17</v>
      </c>
      <c r="C32" s="75"/>
      <c r="D32" s="75"/>
      <c r="E32" s="76"/>
      <c r="F32" s="93" t="s">
        <v>215</v>
      </c>
      <c r="G32" s="71"/>
      <c r="T32" s="197"/>
      <c r="U32" s="175"/>
      <c r="V32" s="175"/>
      <c r="W32" s="175"/>
      <c r="X32" s="175"/>
      <c r="Y32" s="180"/>
      <c r="Z32" s="180"/>
      <c r="AA32" s="198"/>
      <c r="AB32" s="198"/>
      <c r="AC32" s="198"/>
      <c r="AD32" s="178"/>
    </row>
    <row r="33" spans="1:30" x14ac:dyDescent="0.2">
      <c r="A33" s="70"/>
      <c r="B33" s="62"/>
      <c r="C33" s="245" t="s">
        <v>11</v>
      </c>
      <c r="D33" s="1"/>
      <c r="E33" s="81" t="str">
        <f>IF(AND(Y5&lt;&gt;2,ISNUMBER(B33)=FALSE),"O","")</f>
        <v>O</v>
      </c>
      <c r="F33" s="306" t="str">
        <f>IF(Z15=0,IF(Y5=1,IF(B33&lt;=1,"Calculations based on 1 year of crash data or less and should be interpreted with caution.", IF(B33&lt;3,"Consider collecting at least 3 years of crash data.", "")),"These variables are not needed because crash data are not available."),"")</f>
        <v/>
      </c>
      <c r="G33" s="71"/>
      <c r="H33" s="83"/>
      <c r="T33" s="174"/>
      <c r="U33" s="175"/>
      <c r="V33" s="175"/>
      <c r="W33" s="175"/>
      <c r="X33" s="199" t="str">
        <f>IF(AND(Y5=1,B33&lt;=1),"W","A")</f>
        <v>A</v>
      </c>
      <c r="Y33" s="175">
        <f>MAX(B33,0.1)</f>
        <v>0.1</v>
      </c>
      <c r="Z33" s="175">
        <f>COUNTIF(E33:E42,"O")</f>
        <v>4</v>
      </c>
      <c r="AA33" s="177"/>
      <c r="AB33" s="177"/>
      <c r="AC33" s="177"/>
      <c r="AD33" s="178"/>
    </row>
    <row r="34" spans="1:30" x14ac:dyDescent="0.2">
      <c r="A34" s="70"/>
      <c r="B34" s="64"/>
      <c r="C34" s="251" t="s">
        <v>43</v>
      </c>
      <c r="D34" s="107"/>
      <c r="E34" s="81" t="str">
        <f>IF(AND(Y5&lt;&gt;2,ISNUMBER(B34)=FALSE),"O","")</f>
        <v>O</v>
      </c>
      <c r="F34" s="307" t="str">
        <f>IF(AND(Z15=0,Y5=1,OR(B37&gt;D41,B38&gt;D42)),"Critical rates should be higher than average rates.","")</f>
        <v/>
      </c>
      <c r="G34" s="71"/>
      <c r="H34" s="83"/>
      <c r="T34" s="174"/>
      <c r="U34" s="175"/>
      <c r="V34" s="175"/>
      <c r="W34" s="175"/>
      <c r="X34" s="181" t="s">
        <v>132</v>
      </c>
      <c r="Y34" s="200">
        <f>MAX(B34,1)</f>
        <v>1</v>
      </c>
      <c r="Z34" s="175">
        <f>365*Y33*Y34*Y23/10^8</f>
        <v>3.6500000000000003E-8</v>
      </c>
      <c r="AA34" s="177"/>
      <c r="AB34" s="177"/>
      <c r="AC34" s="177"/>
      <c r="AD34" s="178"/>
    </row>
    <row r="35" spans="1:30" x14ac:dyDescent="0.2">
      <c r="A35" s="70"/>
      <c r="B35" s="62"/>
      <c r="C35" s="247" t="s">
        <v>88</v>
      </c>
      <c r="D35" s="83"/>
      <c r="E35" s="81" t="str">
        <f>IF(AND(Y5&lt;&gt;2,ISNUMBER(B35)=FALSE),"O","")</f>
        <v>O</v>
      </c>
      <c r="F35" s="307" t="str">
        <f>IF(AND(Y5=1,Z33=0,ISNUMBER(B35)),"Observed KABCO crash rate = " &amp; ROUND(Z35,1) &amp; " crashes / 100 MVMT","")</f>
        <v/>
      </c>
      <c r="G35" s="71"/>
      <c r="H35" s="83"/>
      <c r="T35" s="174"/>
      <c r="U35" s="175"/>
      <c r="V35" s="175"/>
      <c r="W35" s="175"/>
      <c r="X35" s="181" t="s">
        <v>136</v>
      </c>
      <c r="Y35" s="175"/>
      <c r="Z35" s="175">
        <f>B35/Z$34</f>
        <v>0</v>
      </c>
      <c r="AA35" s="177"/>
      <c r="AB35" s="177"/>
      <c r="AC35" s="177"/>
      <c r="AD35" s="178"/>
    </row>
    <row r="36" spans="1:30" x14ac:dyDescent="0.2">
      <c r="A36" s="70"/>
      <c r="B36" s="62"/>
      <c r="C36" s="244" t="s">
        <v>82</v>
      </c>
      <c r="D36" s="97"/>
      <c r="E36" s="81" t="str">
        <f>IF(AND(Y5&lt;&gt;2,ISNUMBER(B36)=FALSE),"O","")</f>
        <v>O</v>
      </c>
      <c r="F36" s="307" t="str">
        <f>IF(AND(Y5=1,Z33=0),IF(AND(ISNUMBER(B36),B36&lt;=B35),"Observed KABC crash rate = " &amp; ROUND(Z36,1) &amp; " crashes / 100 MVMT","The number of KABC crashes must be less than or equal to the number of KABCO crashes."),"")</f>
        <v/>
      </c>
      <c r="G36" s="71"/>
      <c r="H36" s="83"/>
      <c r="T36" s="174"/>
      <c r="U36" s="175"/>
      <c r="V36" s="175"/>
      <c r="W36" s="175"/>
      <c r="X36" s="175" t="str">
        <f>IF(B36&lt;=B35,"C","W")</f>
        <v>C</v>
      </c>
      <c r="Y36" s="175"/>
      <c r="Z36" s="175">
        <f>B36/Z$34</f>
        <v>0</v>
      </c>
      <c r="AA36" s="177"/>
      <c r="AB36" s="177"/>
      <c r="AC36" s="177"/>
      <c r="AD36" s="178"/>
    </row>
    <row r="37" spans="1:30" x14ac:dyDescent="0.2">
      <c r="A37" s="70"/>
      <c r="B37" s="66"/>
      <c r="C37" s="244" t="s">
        <v>85</v>
      </c>
      <c r="D37" s="97"/>
      <c r="E37" s="81" t="str">
        <f>""</f>
        <v/>
      </c>
      <c r="F37" s="307" t="str">
        <f>IF(AND(Y5=1,Z33=0),IF(ISBLANK(B37),'Support Tables'!F20&amp;IF(ISBLANK('Support Tables'!F20),"A"," a")&amp;"verage KABCO crash rate = " &amp; ROUND(Z37,1) &amp; " crashes / 100 MVMT","Average KABCO crash rate for agency &amp; region (provided by user)"),"")</f>
        <v/>
      </c>
      <c r="G37" s="71"/>
      <c r="H37" s="83"/>
      <c r="T37" s="174" t="str">
        <f>IF(B25=2,2,IF(Y26=1,"MU","MD"))</f>
        <v>MD</v>
      </c>
      <c r="U37" s="175"/>
      <c r="V37" s="175"/>
      <c r="W37" s="175"/>
      <c r="X37" s="181" t="s">
        <v>136</v>
      </c>
      <c r="Y37" s="175"/>
      <c r="Z37" s="175">
        <f>IF(LEN(B37)&gt;0,B37,VLOOKUP(Y34,'Support Tables'!I16:L28,MATCH(T37,'Support Tables'!I16:L16,0),TRUE))</f>
        <v>61.74</v>
      </c>
      <c r="AA37" s="177"/>
      <c r="AB37" s="177"/>
      <c r="AC37" s="177"/>
      <c r="AD37" s="178"/>
    </row>
    <row r="38" spans="1:30" x14ac:dyDescent="0.2">
      <c r="A38" s="70"/>
      <c r="B38" s="66"/>
      <c r="C38" s="244" t="s">
        <v>83</v>
      </c>
      <c r="D38" s="97"/>
      <c r="E38" s="81" t="str">
        <f>""</f>
        <v/>
      </c>
      <c r="F38" s="307" t="str">
        <f>IF(AND(Y5=1,Z33=0),IF(ISBLANK(B38),'Support Tables'!F20&amp;IF(ISBLANK('Support Tables'!F20),"A"," a")&amp;"verage KABC crash rate = " &amp; ROUND(Z38,1) &amp; " crashes / 100 MVMT","Average KABC crash rate for agency &amp; region (provided by user)"),"")</f>
        <v/>
      </c>
      <c r="G38" s="71"/>
      <c r="H38" s="83"/>
      <c r="T38" s="174"/>
      <c r="U38" s="175"/>
      <c r="V38" s="175"/>
      <c r="W38" s="175"/>
      <c r="X38" s="181" t="s">
        <v>136</v>
      </c>
      <c r="Y38" s="175"/>
      <c r="Z38" s="175">
        <f>IF(LEN(B38)&gt;0,B38,VLOOKUP(Y34,'Support Tables'!M16:P28,MATCH(T37,'Support Tables'!M16:P16,0),TRUE))</f>
        <v>22.85</v>
      </c>
      <c r="AA38" s="175"/>
      <c r="AB38" s="175"/>
      <c r="AC38" s="175"/>
      <c r="AD38" s="178"/>
    </row>
    <row r="39" spans="1:30" x14ac:dyDescent="0.2">
      <c r="A39" s="70"/>
      <c r="B39" s="162"/>
      <c r="C39" s="167" t="s">
        <v>130</v>
      </c>
      <c r="D39" s="170" t="str">
        <f>IF(AND(B5="Yes",Z33=0),1.3*Z37,"")</f>
        <v/>
      </c>
      <c r="E39" s="81" t="str">
        <f>""</f>
        <v/>
      </c>
      <c r="F39" s="307" t="str">
        <f>IF(AND(Z15=0,SUM(AA39:AC39)=1),"Rounded-Down 85th","")</f>
        <v/>
      </c>
      <c r="G39" s="71"/>
      <c r="H39" s="83"/>
      <c r="T39" s="174"/>
      <c r="U39" s="175"/>
      <c r="V39" s="175"/>
      <c r="W39" s="175"/>
      <c r="X39" s="181" t="s">
        <v>134</v>
      </c>
      <c r="Y39" s="175"/>
      <c r="Z39" s="201"/>
      <c r="AA39" s="202"/>
      <c r="AB39" s="177"/>
      <c r="AC39" s="177">
        <f>IF(AND(Y5=1,Z35&gt;1.3*Z37,Z35&lt;D41),1,0)</f>
        <v>0</v>
      </c>
      <c r="AD39" s="178"/>
    </row>
    <row r="40" spans="1:30" x14ac:dyDescent="0.2">
      <c r="A40" s="70"/>
      <c r="B40" s="163"/>
      <c r="C40" s="167" t="s">
        <v>131</v>
      </c>
      <c r="D40" s="170" t="str">
        <f>IF(AND(B5="Yes",Z33=0),1.3*Z38,"")</f>
        <v/>
      </c>
      <c r="E40" s="81" t="str">
        <f>""</f>
        <v/>
      </c>
      <c r="F40" s="307" t="str">
        <f>IF(AND(Z15=0,SUM(AA40:AC40)=1),"Rounded-Down 85th","")</f>
        <v/>
      </c>
      <c r="G40" s="71"/>
      <c r="H40" s="83"/>
      <c r="T40" s="174"/>
      <c r="U40" s="175"/>
      <c r="V40" s="175"/>
      <c r="W40" s="175"/>
      <c r="X40" s="181" t="s">
        <v>134</v>
      </c>
      <c r="Y40" s="175"/>
      <c r="Z40" s="201"/>
      <c r="AA40" s="202"/>
      <c r="AB40" s="177"/>
      <c r="AC40" s="177">
        <f>IF(AND(Y5=1,Z36&gt;1.3*Z38,Z36&lt;D42),1,0)</f>
        <v>0</v>
      </c>
      <c r="AD40" s="178"/>
    </row>
    <row r="41" spans="1:30" x14ac:dyDescent="0.2">
      <c r="A41" s="70"/>
      <c r="B41" s="163"/>
      <c r="C41" s="168" t="s">
        <v>86</v>
      </c>
      <c r="D41" s="170" t="str">
        <f>IF(AND(B5="Yes",Z33=0),Z37+1.645*SQRT((Z37/Z34))+(1/2/Z34),"")</f>
        <v/>
      </c>
      <c r="E41" s="81" t="str">
        <f>""</f>
        <v/>
      </c>
      <c r="F41" s="307" t="str">
        <f>IF(AND(Z15=0,SUM(AA41:AC41)=1),"Closest 50th","")</f>
        <v/>
      </c>
      <c r="G41" s="71"/>
      <c r="T41" s="174"/>
      <c r="U41" s="175"/>
      <c r="V41" s="175"/>
      <c r="W41" s="175"/>
      <c r="X41" s="181" t="s">
        <v>134</v>
      </c>
      <c r="Y41" s="175"/>
      <c r="Z41" s="175"/>
      <c r="AA41" s="177"/>
      <c r="AB41" s="177">
        <f>IF(AND(Y5=1,Z35&gt;D41),1,0)</f>
        <v>0</v>
      </c>
      <c r="AC41" s="177"/>
      <c r="AD41" s="178"/>
    </row>
    <row r="42" spans="1:30" ht="13.5" thickBot="1" x14ac:dyDescent="0.25">
      <c r="A42" s="70"/>
      <c r="B42" s="164"/>
      <c r="C42" s="169" t="s">
        <v>84</v>
      </c>
      <c r="D42" s="171" t="str">
        <f>IF(AND(B5="Yes",Z33=0),Z38+1.645*SQRT((Z38/Z34))+(1/2/Z34),"")</f>
        <v/>
      </c>
      <c r="E42" s="90" t="str">
        <f>""</f>
        <v/>
      </c>
      <c r="F42" s="308" t="str">
        <f>IF(AND(Z15=0,SUM(AA42:AC42)=1),"Closest 50th","")</f>
        <v/>
      </c>
      <c r="G42" s="71"/>
      <c r="T42" s="190"/>
      <c r="U42" s="186"/>
      <c r="V42" s="186"/>
      <c r="W42" s="186"/>
      <c r="X42" s="193" t="s">
        <v>134</v>
      </c>
      <c r="Y42" s="186"/>
      <c r="Z42" s="186"/>
      <c r="AA42" s="187"/>
      <c r="AB42" s="187">
        <f>IF(AND(Y5=1,Z36&gt;D42),1,0)</f>
        <v>0</v>
      </c>
      <c r="AC42" s="187"/>
      <c r="AD42" s="188"/>
    </row>
    <row r="43" spans="1:30" ht="6" customHeight="1" thickBot="1" x14ac:dyDescent="0.25">
      <c r="A43" s="108"/>
      <c r="B43" s="109"/>
      <c r="C43" s="109"/>
      <c r="D43" s="109"/>
      <c r="E43" s="109"/>
      <c r="F43" s="109"/>
      <c r="G43" s="110"/>
    </row>
  </sheetData>
  <sheetProtection algorithmName="SHA-512" hashValue="ugRCWr+BBJh80dsrBIpNYMTJZX1/HFxZBAbFdWRTVfXFn9HMg7mHk9lZXvgwZsvQfGaJdq1TCx/i7SbGesZ7Bw==" saltValue="XTHqcX/+006kAlCHjpFeaA==" spinCount="100000" sheet="1" formatCells="0" formatColumns="0" formatRows="0"/>
  <mergeCells count="1">
    <mergeCell ref="T2:AD2"/>
  </mergeCells>
  <conditionalFormatting sqref="B26">
    <cfRule type="expression" dxfId="15" priority="29">
      <formula>$B$25=2</formula>
    </cfRule>
  </conditionalFormatting>
  <conditionalFormatting sqref="B33:B38 D39:D42">
    <cfRule type="expression" dxfId="14" priority="37">
      <formula>$Y$5=2</formula>
    </cfRule>
  </conditionalFormatting>
  <conditionalFormatting sqref="F15 F18:F20 F23:F30">
    <cfRule type="expression" dxfId="13" priority="5">
      <formula>X15="W"</formula>
    </cfRule>
    <cfRule type="expression" dxfId="12" priority="26">
      <formula>X15="C"</formula>
    </cfRule>
    <cfRule type="expression" dxfId="11" priority="27">
      <formula>X15="A"</formula>
    </cfRule>
    <cfRule type="expression" dxfId="10" priority="28">
      <formula>X15="X"</formula>
    </cfRule>
  </conditionalFormatting>
  <conditionalFormatting sqref="F33:F42">
    <cfRule type="expression" dxfId="9" priority="1">
      <formula>X33="W"</formula>
    </cfRule>
    <cfRule type="expression" dxfId="8" priority="2">
      <formula>X33="C"</formula>
    </cfRule>
    <cfRule type="expression" dxfId="7" priority="3">
      <formula>X33="A"</formula>
    </cfRule>
    <cfRule type="expression" dxfId="6" priority="4">
      <formula>X33="X"</formula>
    </cfRule>
  </conditionalFormatting>
  <dataValidations count="6">
    <dataValidation type="decimal" operator="greaterThanOrEqual" allowBlank="1" showInputMessage="1" showErrorMessage="1" error="Enter a positive numeric value." sqref="B19:B20 B33:B34 B37:B38 B23 B27:B28" xr:uid="{00000000-0002-0000-0400-000000000000}">
      <formula1>0</formula1>
    </dataValidation>
    <dataValidation type="whole" operator="greaterThanOrEqual" allowBlank="1" showInputMessage="1" showErrorMessage="1" error="Enter a positive numeric value." sqref="B10 B24:B25 B18 B35:B36" xr:uid="{00000000-0002-0000-0400-000001000000}">
      <formula1>0</formula1>
    </dataValidation>
    <dataValidation type="list" allowBlank="1" showInputMessage="1" showErrorMessage="1" error="Invalid value.  Please select from the recommended options." sqref="B5" xr:uid="{00000000-0002-0000-0400-000002000000}">
      <formula1>$T$5:$U$5</formula1>
    </dataValidation>
    <dataValidation type="list" allowBlank="1" showInputMessage="1" showErrorMessage="1" error="Invalid value.  Please select from the recommended options." sqref="B26" xr:uid="{00000000-0002-0000-0400-000003000000}">
      <formula1>$T$26:$U$26</formula1>
    </dataValidation>
    <dataValidation type="list" allowBlank="1" showInputMessage="1" showErrorMessage="1" error="Invalid value.  Please select from the recommended options." sqref="B30" xr:uid="{00000000-0002-0000-0400-000004000000}">
      <formula1>$T$30:$U$30</formula1>
    </dataValidation>
    <dataValidation type="decimal" allowBlank="1" showInputMessage="1" showErrorMessage="1" error="Enter a value between 0 and 14 ft." sqref="B29" xr:uid="{00000000-0002-0000-0400-000005000000}">
      <formula1>0</formula1>
      <formula2>14</formula2>
    </dataValidation>
  </dataValidations>
  <pageMargins left="0.7" right="0.7" top="0.75" bottom="0.75" header="0.3" footer="0.3"/>
  <pageSetup orientation="portrait" horizontalDpi="4294967293" verticalDpi="300" r:id="rId1"/>
  <ignoredErrors>
    <ignoredError sqref="E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4" tint="-0.249977111117893"/>
  </sheetPr>
  <dimension ref="A1:AD46"/>
  <sheetViews>
    <sheetView showGridLines="0" zoomScaleNormal="100" workbookViewId="0">
      <pane ySplit="3" topLeftCell="A4" activePane="bottomLeft" state="frozen"/>
      <selection pane="bottomLeft" activeCell="D15" sqref="D15"/>
    </sheetView>
  </sheetViews>
  <sheetFormatPr defaultColWidth="9.140625" defaultRowHeight="12.75" x14ac:dyDescent="0.2"/>
  <cols>
    <col min="1" max="1" width="1.140625" style="3" customWidth="1"/>
    <col min="2" max="2" width="25.7109375" style="3" bestFit="1" customWidth="1"/>
    <col min="3" max="3" width="31.42578125" style="3" customWidth="1"/>
    <col min="4" max="4" width="14.28515625" style="3" customWidth="1"/>
    <col min="5" max="5" width="3.7109375" style="3" customWidth="1"/>
    <col min="6" max="6" width="87.28515625" style="3" customWidth="1"/>
    <col min="7" max="7" width="1.28515625" style="3" customWidth="1"/>
    <col min="8" max="24" width="9.140625" style="3" customWidth="1"/>
    <col min="25" max="25" width="9.140625" style="3"/>
    <col min="26" max="26" width="10" style="3" bestFit="1" customWidth="1"/>
    <col min="27" max="27" width="10" style="114" customWidth="1"/>
    <col min="28" max="29" width="9.140625" style="114"/>
    <col min="30" max="30" width="9.140625" style="114" customWidth="1"/>
    <col min="31" max="31" width="9.140625" style="3" customWidth="1"/>
    <col min="32" max="32" width="14.42578125" style="3" customWidth="1"/>
    <col min="33" max="37" width="13.7109375" style="3" customWidth="1"/>
    <col min="38" max="39" width="9.140625" style="3" customWidth="1"/>
    <col min="40" max="16384" width="9.140625" style="3"/>
  </cols>
  <sheetData>
    <row r="1" spans="1:30" ht="6" customHeight="1" thickTop="1" thickBot="1" x14ac:dyDescent="0.25">
      <c r="A1" s="67"/>
      <c r="B1" s="68"/>
      <c r="C1" s="68"/>
      <c r="D1" s="68"/>
      <c r="E1" s="68"/>
      <c r="F1" s="68"/>
      <c r="G1" s="69"/>
    </row>
    <row r="2" spans="1:30" ht="13.5" thickBot="1" x14ac:dyDescent="0.25">
      <c r="A2" s="70"/>
      <c r="B2" s="149" t="s">
        <v>214</v>
      </c>
      <c r="C2" s="150"/>
      <c r="D2" s="150"/>
      <c r="E2" s="150"/>
      <c r="F2" s="151"/>
      <c r="G2" s="71"/>
      <c r="T2" s="322" t="s">
        <v>124</v>
      </c>
      <c r="U2" s="323"/>
      <c r="V2" s="323"/>
      <c r="W2" s="323"/>
      <c r="X2" s="323"/>
      <c r="Y2" s="323"/>
      <c r="Z2" s="323"/>
      <c r="AA2" s="323"/>
      <c r="AB2" s="323"/>
      <c r="AC2" s="323"/>
      <c r="AD2" s="324"/>
    </row>
    <row r="3" spans="1:30" ht="13.15" customHeight="1" thickBot="1" x14ac:dyDescent="0.25">
      <c r="A3" s="70"/>
      <c r="B3" s="157" t="s">
        <v>180</v>
      </c>
      <c r="C3" s="157" t="s">
        <v>14</v>
      </c>
      <c r="D3" s="157" t="s">
        <v>181</v>
      </c>
      <c r="G3" s="71"/>
      <c r="T3" s="174"/>
      <c r="U3" s="175"/>
      <c r="V3" s="175"/>
      <c r="W3" s="175"/>
      <c r="X3" s="176"/>
      <c r="Y3" s="175"/>
      <c r="Z3" s="175"/>
      <c r="AA3" s="177"/>
      <c r="AB3" s="177"/>
      <c r="AC3" s="177"/>
      <c r="AD3" s="178"/>
    </row>
    <row r="4" spans="1:30" x14ac:dyDescent="0.2">
      <c r="A4" s="70"/>
      <c r="B4" s="122" t="s">
        <v>28</v>
      </c>
      <c r="C4" s="75"/>
      <c r="D4" s="75"/>
      <c r="E4" s="76"/>
      <c r="F4" s="77" t="s">
        <v>68</v>
      </c>
      <c r="G4" s="71"/>
      <c r="T4" s="179" t="s">
        <v>123</v>
      </c>
      <c r="U4" s="180"/>
      <c r="V4" s="180"/>
      <c r="W4" s="176"/>
      <c r="X4" s="181" t="s">
        <v>135</v>
      </c>
      <c r="Y4" s="175" t="s">
        <v>35</v>
      </c>
      <c r="Z4" s="175" t="s">
        <v>39</v>
      </c>
      <c r="AA4" s="177" t="s">
        <v>76</v>
      </c>
      <c r="AB4" s="177" t="s">
        <v>36</v>
      </c>
      <c r="AC4" s="177" t="s">
        <v>37</v>
      </c>
      <c r="AD4" s="182" t="s">
        <v>38</v>
      </c>
    </row>
    <row r="5" spans="1:30" x14ac:dyDescent="0.2">
      <c r="A5" s="70"/>
      <c r="B5" s="112"/>
      <c r="C5" s="239" t="s">
        <v>67</v>
      </c>
      <c r="D5" s="86"/>
      <c r="E5" s="81" t="str">
        <f>IF(LEN(B5)&gt;0,"","O")</f>
        <v>O</v>
      </c>
      <c r="F5" s="82" t="s">
        <v>72</v>
      </c>
      <c r="G5" s="71"/>
      <c r="H5" s="83"/>
      <c r="T5" s="183" t="s">
        <v>2</v>
      </c>
      <c r="U5" s="184" t="s">
        <v>4</v>
      </c>
      <c r="V5" s="180"/>
      <c r="W5" s="176"/>
      <c r="X5" s="176"/>
      <c r="Y5" s="175">
        <f>IF(LEN(B5)&gt;0,MATCH(B5,T5:U5,0),0)</f>
        <v>0</v>
      </c>
      <c r="Z5" s="175"/>
      <c r="AA5" s="177"/>
      <c r="AB5" s="177"/>
      <c r="AC5" s="177"/>
      <c r="AD5" s="178"/>
    </row>
    <row r="6" spans="1:30" x14ac:dyDescent="0.2">
      <c r="A6" s="70"/>
      <c r="B6" s="143"/>
      <c r="C6" s="240" t="s">
        <v>148</v>
      </c>
      <c r="D6" s="142"/>
      <c r="E6" s="88" t="str">
        <f>""</f>
        <v/>
      </c>
      <c r="F6" s="84" t="s">
        <v>73</v>
      </c>
      <c r="G6" s="71"/>
      <c r="H6" s="83"/>
      <c r="T6" s="174"/>
      <c r="U6" s="175"/>
      <c r="V6" s="175"/>
      <c r="W6" s="175"/>
      <c r="X6" s="175"/>
      <c r="Y6" s="175"/>
      <c r="Z6" s="175"/>
      <c r="AA6" s="177"/>
      <c r="AB6" s="177"/>
      <c r="AC6" s="177"/>
      <c r="AD6" s="178"/>
    </row>
    <row r="7" spans="1:30" x14ac:dyDescent="0.2">
      <c r="A7" s="70"/>
      <c r="B7" s="59"/>
      <c r="C7" s="241" t="s">
        <v>29</v>
      </c>
      <c r="E7" s="88" t="str">
        <f>""</f>
        <v/>
      </c>
      <c r="F7" s="87" t="s">
        <v>80</v>
      </c>
      <c r="G7" s="71"/>
      <c r="H7" s="83"/>
      <c r="T7" s="174"/>
      <c r="U7" s="175"/>
      <c r="V7" s="175"/>
      <c r="W7" s="175"/>
      <c r="X7" s="175"/>
      <c r="Y7" s="175"/>
      <c r="Z7" s="175"/>
      <c r="AA7" s="177"/>
      <c r="AB7" s="177"/>
      <c r="AC7" s="177"/>
      <c r="AD7" s="178"/>
    </row>
    <row r="8" spans="1:30" x14ac:dyDescent="0.2">
      <c r="A8" s="70"/>
      <c r="B8" s="143"/>
      <c r="C8" s="242" t="s">
        <v>41</v>
      </c>
      <c r="D8" s="4"/>
      <c r="E8" s="88" t="str">
        <f>""</f>
        <v/>
      </c>
      <c r="F8" s="148" t="s">
        <v>174</v>
      </c>
      <c r="G8" s="71"/>
      <c r="H8" s="83"/>
      <c r="T8" s="174"/>
      <c r="U8" s="175"/>
      <c r="V8" s="175"/>
      <c r="W8" s="175"/>
      <c r="X8" s="175"/>
      <c r="Y8" s="175"/>
      <c r="Z8" s="175"/>
      <c r="AA8" s="177"/>
      <c r="AB8" s="177"/>
      <c r="AC8" s="177"/>
      <c r="AD8" s="178"/>
    </row>
    <row r="9" spans="1:30" x14ac:dyDescent="0.2">
      <c r="A9" s="70"/>
      <c r="B9" s="60"/>
      <c r="C9" s="242" t="s">
        <v>14</v>
      </c>
      <c r="D9" s="4"/>
      <c r="E9" s="88" t="str">
        <f>""</f>
        <v/>
      </c>
      <c r="F9" s="147" t="s">
        <v>173</v>
      </c>
      <c r="G9" s="71"/>
      <c r="H9" s="83"/>
      <c r="T9" s="174"/>
      <c r="U9" s="175"/>
      <c r="V9" s="175"/>
      <c r="W9" s="175"/>
      <c r="X9" s="175"/>
      <c r="Y9" s="175"/>
      <c r="Z9" s="175"/>
      <c r="AA9" s="177"/>
      <c r="AB9" s="177"/>
      <c r="AC9" s="177"/>
      <c r="AD9" s="178"/>
    </row>
    <row r="10" spans="1:30" x14ac:dyDescent="0.2">
      <c r="A10" s="70"/>
      <c r="B10" s="61"/>
      <c r="C10" s="237" t="s">
        <v>49</v>
      </c>
      <c r="D10" s="80"/>
      <c r="E10" s="88" t="str">
        <f>""</f>
        <v/>
      </c>
      <c r="F10" s="89" t="s">
        <v>75</v>
      </c>
      <c r="G10" s="71"/>
      <c r="H10" s="83"/>
      <c r="T10" s="174"/>
      <c r="U10" s="175"/>
      <c r="V10" s="175"/>
      <c r="W10" s="175"/>
      <c r="X10" s="175"/>
      <c r="Y10" s="175"/>
      <c r="Z10" s="175"/>
      <c r="AA10" s="177"/>
      <c r="AB10" s="177"/>
      <c r="AC10" s="177"/>
      <c r="AD10" s="178"/>
    </row>
    <row r="11" spans="1:30" ht="13.15" customHeight="1" thickBot="1" x14ac:dyDescent="0.25">
      <c r="A11" s="70"/>
      <c r="B11" s="139"/>
      <c r="C11" s="243" t="s">
        <v>30</v>
      </c>
      <c r="D11" s="7"/>
      <c r="E11" s="90" t="str">
        <f>""</f>
        <v/>
      </c>
      <c r="F11" s="140" t="s">
        <v>171</v>
      </c>
      <c r="G11" s="71"/>
      <c r="H11" s="83"/>
      <c r="T11" s="185"/>
      <c r="U11" s="186"/>
      <c r="V11" s="186"/>
      <c r="W11" s="186"/>
      <c r="X11" s="186"/>
      <c r="Y11" s="186"/>
      <c r="Z11" s="186"/>
      <c r="AA11" s="187"/>
      <c r="AB11" s="187"/>
      <c r="AC11" s="187"/>
      <c r="AD11" s="188"/>
    </row>
    <row r="12" spans="1:30" ht="13.15" customHeight="1" thickBot="1" x14ac:dyDescent="0.25">
      <c r="A12" s="70"/>
      <c r="B12" s="92"/>
      <c r="C12" s="4"/>
      <c r="D12" s="4"/>
      <c r="E12" s="88"/>
      <c r="F12" s="4"/>
      <c r="G12" s="71"/>
      <c r="T12" s="174"/>
      <c r="U12" s="175"/>
      <c r="V12" s="175"/>
      <c r="W12" s="175"/>
      <c r="X12" s="175"/>
      <c r="Y12" s="175"/>
      <c r="Z12" s="175"/>
      <c r="AA12" s="177"/>
      <c r="AB12" s="177"/>
      <c r="AC12" s="177"/>
      <c r="AD12" s="178"/>
    </row>
    <row r="13" spans="1:30" x14ac:dyDescent="0.2">
      <c r="A13" s="70"/>
      <c r="B13" s="74" t="s">
        <v>74</v>
      </c>
      <c r="C13" s="104"/>
      <c r="D13" s="75"/>
      <c r="E13" s="76"/>
      <c r="F13" s="93" t="s">
        <v>215</v>
      </c>
      <c r="G13" s="71"/>
      <c r="T13" s="174"/>
      <c r="U13" s="175"/>
      <c r="V13" s="175"/>
      <c r="W13" s="175"/>
      <c r="X13" s="175"/>
      <c r="Y13" s="175"/>
      <c r="Z13" s="175"/>
      <c r="AA13" s="175">
        <f>SUM(AA20:AA45)</f>
        <v>1</v>
      </c>
      <c r="AB13" s="175">
        <f>SUM(AB20:AB45)</f>
        <v>0</v>
      </c>
      <c r="AC13" s="175">
        <f>SUM(AC20:AC45)</f>
        <v>0</v>
      </c>
      <c r="AD13" s="189">
        <f>SUM(AA20:AC33)</f>
        <v>1</v>
      </c>
    </row>
    <row r="14" spans="1:30" x14ac:dyDescent="0.2">
      <c r="A14" s="70"/>
      <c r="B14" s="275"/>
      <c r="C14" s="276" t="s">
        <v>117</v>
      </c>
      <c r="D14" s="277" t="s">
        <v>197</v>
      </c>
      <c r="E14" s="88"/>
      <c r="F14" s="273"/>
      <c r="G14" s="71"/>
      <c r="T14" s="174"/>
      <c r="U14" s="175"/>
      <c r="V14" s="175"/>
      <c r="W14" s="175"/>
      <c r="X14" s="175"/>
      <c r="Y14" s="175"/>
      <c r="Z14" s="175"/>
      <c r="AA14" s="175"/>
      <c r="AB14" s="175"/>
      <c r="AC14" s="175"/>
      <c r="AD14" s="189"/>
    </row>
    <row r="15" spans="1:30" ht="32.450000000000003" customHeight="1" thickBot="1" x14ac:dyDescent="0.25">
      <c r="A15" s="70"/>
      <c r="B15" s="164"/>
      <c r="C15" s="274" t="s">
        <v>15</v>
      </c>
      <c r="D15" s="173" t="str">
        <f>IF(Z15=0,MAX(T15,MIN(V15,MIN(U15,B18))),"")</f>
        <v/>
      </c>
      <c r="E15" s="95"/>
      <c r="F15" s="118" t="str">
        <f>IF(Z15=0,IF(V15&lt;T15,"The calculated value is below the lower value for this speed limit setting group; therefore, the suggested speed limit reflects the assumed lower value.",IF(V15&gt;U15,"The calculated value exceeds the upper value for this speed limit setting group; therefore, the suggested speed limit reflects the assumed upper value.", "This value is determined by " &amp; IF(V15&gt;B18,"the maximum speed limit.", "speed data" &amp; IF(AD13&gt;0,IF(AND(Y5=1,SUM(AA42:AC45)&gt;0),", site characteristics, &amp; crash data."," &amp; site characteristics."),IF(AND(Y5=1,SUM(AA42:AC45)&gt;0), " &amp; crash data.","."))))),"Enter values for all variables marked with O.")</f>
        <v>Enter values for all variables marked with O.</v>
      </c>
      <c r="G15" s="71"/>
      <c r="T15" s="190">
        <f>'Support Tables'!C24</f>
        <v>15</v>
      </c>
      <c r="U15" s="186">
        <f>'Support Tables'!D24</f>
        <v>30</v>
      </c>
      <c r="V15" s="186">
        <f>IF(AA13&gt;0,AA15,AB15)</f>
        <v>0</v>
      </c>
      <c r="W15" s="186"/>
      <c r="X15" s="186" t="str">
        <f>IF(OR(V15&gt;U15,V15&lt;T15,Z15&gt;0),"W","A")</f>
        <v>W</v>
      </c>
      <c r="Y15" s="186"/>
      <c r="Z15" s="186">
        <f>COUNTIF(E5:E45,"O")</f>
        <v>17</v>
      </c>
      <c r="AA15" s="186">
        <f>5*INT(B19/5)</f>
        <v>0</v>
      </c>
      <c r="AB15" s="186">
        <f>5*INT((B19+2.5)/5)</f>
        <v>0</v>
      </c>
      <c r="AC15" s="186"/>
      <c r="AD15" s="191"/>
    </row>
    <row r="16" spans="1:30" ht="13.5" thickBot="1" x14ac:dyDescent="0.25">
      <c r="A16" s="70"/>
      <c r="C16" s="96"/>
      <c r="D16" s="96"/>
      <c r="E16" s="88"/>
      <c r="G16" s="71"/>
      <c r="T16" s="174"/>
      <c r="U16" s="175"/>
      <c r="V16" s="175"/>
      <c r="W16" s="175"/>
      <c r="X16" s="175"/>
      <c r="Y16" s="175"/>
      <c r="Z16" s="175"/>
      <c r="AA16" s="177"/>
      <c r="AB16" s="177"/>
      <c r="AC16" s="177"/>
      <c r="AD16" s="178"/>
    </row>
    <row r="17" spans="1:30" x14ac:dyDescent="0.2">
      <c r="A17" s="70"/>
      <c r="B17" s="74" t="s">
        <v>16</v>
      </c>
      <c r="C17" s="75"/>
      <c r="D17" s="75"/>
      <c r="E17" s="76"/>
      <c r="F17" s="93" t="s">
        <v>215</v>
      </c>
      <c r="G17" s="71"/>
      <c r="T17" s="174"/>
      <c r="U17" s="175"/>
      <c r="V17" s="175"/>
      <c r="W17" s="175"/>
      <c r="X17" s="175"/>
      <c r="Y17" s="175"/>
      <c r="Z17" s="175"/>
      <c r="AA17" s="177"/>
      <c r="AB17" s="177"/>
      <c r="AC17" s="177"/>
      <c r="AD17" s="192"/>
    </row>
    <row r="18" spans="1:30" x14ac:dyDescent="0.2">
      <c r="A18" s="70"/>
      <c r="B18" s="62"/>
      <c r="C18" s="244" t="s">
        <v>81</v>
      </c>
      <c r="D18" s="97"/>
      <c r="E18" s="81" t="str">
        <f>IF(ISNUMBER(B18),"","O")</f>
        <v>O</v>
      </c>
      <c r="F18" s="306" t="str">
        <f>IF(Z15=0,IF(MOD(B18,5)&lt;&gt;0,"Speed limits must be a multiple of 5 mph.", IF(OR(B18&lt;T18,B18&gt;U18), "Enter a value between " &amp; T18 &amp; " and " &amp; U18 &amp; " mph.", IF(B18&gt;U15,"The assumed upper value for this speed limit setting group is " &amp; U15 &amp; " mph.",IF(B18&lt;T15,"The assumed lower value for this speed limit setting group is " &amp; T15 &amp; " mph.", "")))),"")</f>
        <v/>
      </c>
      <c r="G18" s="71"/>
      <c r="H18" s="83"/>
      <c r="T18" s="174">
        <f>MIN('Support Tables'!C21:C24)</f>
        <v>15</v>
      </c>
      <c r="U18" s="175">
        <f>MAX('Support Tables'!D21:D24)</f>
        <v>85</v>
      </c>
      <c r="V18" s="175"/>
      <c r="W18" s="175"/>
      <c r="X18" s="199" t="s">
        <v>132</v>
      </c>
      <c r="Y18" s="175"/>
      <c r="Z18" s="175"/>
      <c r="AA18" s="177"/>
      <c r="AB18" s="177"/>
      <c r="AC18" s="177"/>
      <c r="AD18" s="178"/>
    </row>
    <row r="19" spans="1:30" ht="13.5" thickBot="1" x14ac:dyDescent="0.25">
      <c r="A19" s="70"/>
      <c r="B19" s="63"/>
      <c r="C19" s="246" t="s">
        <v>3</v>
      </c>
      <c r="D19" s="98"/>
      <c r="E19" s="99" t="str">
        <f>IF(ISNUMBER(B19),"","O")</f>
        <v>O</v>
      </c>
      <c r="F19" s="126"/>
      <c r="G19" s="71"/>
      <c r="H19" s="83"/>
      <c r="T19" s="190"/>
      <c r="U19" s="186"/>
      <c r="V19" s="186"/>
      <c r="W19" s="186"/>
      <c r="X19" s="203" t="s">
        <v>132</v>
      </c>
      <c r="Y19" s="186"/>
      <c r="Z19" s="186"/>
      <c r="AA19" s="187"/>
      <c r="AB19" s="187"/>
      <c r="AC19" s="187"/>
      <c r="AD19" s="188"/>
    </row>
    <row r="20" spans="1:30" ht="13.5" thickBot="1" x14ac:dyDescent="0.25">
      <c r="A20" s="70"/>
      <c r="E20" s="88"/>
      <c r="G20" s="71"/>
      <c r="T20" s="174"/>
      <c r="U20" s="175"/>
      <c r="V20" s="175"/>
      <c r="W20" s="175"/>
      <c r="X20" s="175"/>
      <c r="Y20" s="175"/>
      <c r="Z20" s="175"/>
      <c r="AA20" s="177"/>
      <c r="AB20" s="177"/>
      <c r="AC20" s="177"/>
      <c r="AD20" s="178"/>
    </row>
    <row r="21" spans="1:30" x14ac:dyDescent="0.2">
      <c r="A21" s="70"/>
      <c r="B21" s="74" t="s">
        <v>44</v>
      </c>
      <c r="C21" s="75"/>
      <c r="D21" s="75"/>
      <c r="E21" s="76"/>
      <c r="F21" s="93" t="s">
        <v>215</v>
      </c>
      <c r="G21" s="71"/>
      <c r="T21" s="174"/>
      <c r="U21" s="175"/>
      <c r="V21" s="175"/>
      <c r="W21" s="175"/>
      <c r="X21" s="175"/>
      <c r="Y21" s="175"/>
      <c r="Z21" s="175"/>
      <c r="AA21" s="177"/>
      <c r="AB21" s="177"/>
      <c r="AC21" s="177"/>
      <c r="AD21" s="178"/>
    </row>
    <row r="22" spans="1:30" x14ac:dyDescent="0.2">
      <c r="A22" s="70"/>
      <c r="B22" s="62"/>
      <c r="C22" s="247" t="s">
        <v>87</v>
      </c>
      <c r="D22" s="83"/>
      <c r="E22" s="81" t="str">
        <f>IF(ISNUMBER(B22),"","O")</f>
        <v>O</v>
      </c>
      <c r="F22" s="306" t="str">
        <f>IF(AND(Z15=0,B22&lt;Z22),"For a suggested speed limit of " &amp; D15 &amp; " mph, minimum segment length = " &amp; Z22 &amp; " mi.", "")</f>
        <v/>
      </c>
      <c r="G22" s="71"/>
      <c r="H22" s="83"/>
      <c r="T22" s="174"/>
      <c r="U22" s="175"/>
      <c r="V22" s="175"/>
      <c r="W22" s="175"/>
      <c r="X22" s="199" t="s">
        <v>132</v>
      </c>
      <c r="Y22" s="175">
        <f>MAX(B22,0.1)</f>
        <v>0.1</v>
      </c>
      <c r="Z22" s="175">
        <f>VLOOKUP(IF(Z15=0,MAX(15,MIN(85,D15)),MAX('Support Tables'!B28:B42)),'Support Tables'!B28:C42,2,FALSE)</f>
        <v>6.2</v>
      </c>
      <c r="AA22" s="177"/>
      <c r="AB22" s="177"/>
      <c r="AC22" s="177"/>
      <c r="AD22" s="178"/>
    </row>
    <row r="23" spans="1:30" x14ac:dyDescent="0.2">
      <c r="A23" s="70"/>
      <c r="B23" s="62"/>
      <c r="C23" s="248" t="s">
        <v>102</v>
      </c>
      <c r="D23" s="111"/>
      <c r="E23" s="81" t="str">
        <f>IF(ISNUMBER(B23),"","O")</f>
        <v>O</v>
      </c>
      <c r="F23" s="307" t="str">
        <f>IF(AND(Z15=0,OR(B23&lt;T23,B23&gt;U23)),"Number of lanes must be between " &amp; T23 &amp; " and " &amp; U23 &amp; ".","")</f>
        <v/>
      </c>
      <c r="G23" s="71"/>
      <c r="H23" s="83"/>
      <c r="T23" s="174">
        <v>2</v>
      </c>
      <c r="U23" s="175">
        <v>8</v>
      </c>
      <c r="V23" s="175"/>
      <c r="W23" s="175"/>
      <c r="X23" s="281" t="s">
        <v>132</v>
      </c>
      <c r="Y23" s="175"/>
      <c r="Z23" s="175"/>
      <c r="AA23" s="177"/>
      <c r="AB23" s="177"/>
      <c r="AC23" s="177"/>
      <c r="AD23" s="178"/>
    </row>
    <row r="24" spans="1:30" x14ac:dyDescent="0.2">
      <c r="A24" s="70"/>
      <c r="B24" s="58"/>
      <c r="C24" s="241" t="s">
        <v>18</v>
      </c>
      <c r="E24" s="81" t="str">
        <f>IF(LEN(B24)=0,"O","")</f>
        <v>O</v>
      </c>
      <c r="F24" s="307"/>
      <c r="G24" s="71"/>
      <c r="H24" s="83"/>
      <c r="T24" s="204" t="s">
        <v>42</v>
      </c>
      <c r="U24" s="175" t="s">
        <v>25</v>
      </c>
      <c r="V24" s="205" t="s">
        <v>98</v>
      </c>
      <c r="W24" s="293" t="s">
        <v>211</v>
      </c>
      <c r="X24" s="199" t="s">
        <v>134</v>
      </c>
      <c r="Y24" s="175">
        <f>IF(LEN(B24)&gt;0,MATCH(B24,T24:W24,0),0)</f>
        <v>0</v>
      </c>
      <c r="Z24" s="175"/>
      <c r="AA24" s="177"/>
      <c r="AB24" s="177"/>
      <c r="AC24" s="177"/>
      <c r="AD24" s="178"/>
    </row>
    <row r="25" spans="1:30" x14ac:dyDescent="0.2">
      <c r="A25" s="70"/>
      <c r="B25" s="62"/>
      <c r="C25" s="241" t="s">
        <v>19</v>
      </c>
      <c r="E25" s="81" t="str">
        <f>IF(ISNUMBER(B25),"","O")</f>
        <v>O</v>
      </c>
      <c r="F25" s="307" t="str">
        <f>IF(Z15=0,IF(AA25=1,"Rounded-Down 50th (" &amp; T25 &amp; ")",T25),IF(ISNUMBER(B25),T25,""))</f>
        <v/>
      </c>
      <c r="G25" s="71"/>
      <c r="H25" s="83"/>
      <c r="T25" s="174" t="str">
        <f>ROUND(Z25,2) &amp; " signal" &amp; IF(ROUND(Z25,2)=1, "", "s") &amp; " / mi"</f>
        <v>0 signals / mi</v>
      </c>
      <c r="U25" s="175">
        <f>SUM(AA25:AC25)</f>
        <v>0</v>
      </c>
      <c r="V25" s="175"/>
      <c r="W25" s="175"/>
      <c r="X25" s="175" t="str">
        <f>IF(SUM(AA25:AD25)&gt;0,"A","C")</f>
        <v>C</v>
      </c>
      <c r="Y25" s="175"/>
      <c r="Z25" s="175">
        <f>B25/Y22</f>
        <v>0</v>
      </c>
      <c r="AA25" s="177">
        <f>IF(Z25&gt;8,1,0)</f>
        <v>0</v>
      </c>
      <c r="AB25" s="177"/>
      <c r="AC25" s="177"/>
      <c r="AD25" s="178"/>
    </row>
    <row r="26" spans="1:30" x14ac:dyDescent="0.2">
      <c r="A26" s="70"/>
      <c r="B26" s="62"/>
      <c r="C26" s="252" t="s">
        <v>121</v>
      </c>
      <c r="D26" s="94"/>
      <c r="E26" s="81" t="str">
        <f>IF(ISNUMBER(B26),"","O")</f>
        <v>O</v>
      </c>
      <c r="F26" s="307" t="str">
        <f>IF(Z15=0,IF(AA26=1,"Rounded-Down 50th (" &amp; T26 &amp; ")",T26),IF(ISNUMBER(B26),T26,""))</f>
        <v/>
      </c>
      <c r="G26" s="71"/>
      <c r="H26" s="83"/>
      <c r="T26" s="174" t="str">
        <f>ROUND(Z26,2) &amp; " access point" &amp; IF(ROUND(Z26,2) = 1, "", "s") &amp; " / mi"</f>
        <v>0 access points / mi</v>
      </c>
      <c r="U26" s="175">
        <f>SUM(AA26:AC26)</f>
        <v>0</v>
      </c>
      <c r="V26" s="175"/>
      <c r="W26" s="175"/>
      <c r="X26" s="175" t="str">
        <f>IF(SUM(AA26:AD26)&gt;0,"A","C")</f>
        <v>C</v>
      </c>
      <c r="Y26" s="175"/>
      <c r="Z26" s="175">
        <f>B26/Y22</f>
        <v>0</v>
      </c>
      <c r="AA26" s="177">
        <f>IF(Z26&gt;60,1,0)</f>
        <v>0</v>
      </c>
      <c r="AB26" s="177"/>
      <c r="AC26" s="177"/>
      <c r="AD26" s="178"/>
    </row>
    <row r="27" spans="1:30" x14ac:dyDescent="0.2">
      <c r="A27" s="70"/>
      <c r="B27" s="58"/>
      <c r="C27" s="253" t="s">
        <v>178</v>
      </c>
      <c r="D27" s="152"/>
      <c r="E27" s="81" t="str">
        <f>IF(LEN(B27)=0,"O","")</f>
        <v>O</v>
      </c>
      <c r="F27" s="307" t="str">
        <f>IF(AND(Z15=0,AA27=1),"Rounded-Down 50th","")</f>
        <v/>
      </c>
      <c r="G27" s="71"/>
      <c r="H27" s="83"/>
      <c r="T27" s="206" t="s">
        <v>184</v>
      </c>
      <c r="U27" s="207" t="s">
        <v>182</v>
      </c>
      <c r="V27" s="207" t="s">
        <v>183</v>
      </c>
      <c r="W27" s="175"/>
      <c r="X27" s="199" t="s">
        <v>134</v>
      </c>
      <c r="Y27" s="175">
        <f>IF(LEN(B27)&gt;0,MATCH(B27,T27:V27,0),0)</f>
        <v>0</v>
      </c>
      <c r="Z27" s="175"/>
      <c r="AA27" s="177">
        <f>IF(Y27&lt;3,1,0)</f>
        <v>1</v>
      </c>
      <c r="AB27" s="177"/>
      <c r="AC27" s="177"/>
      <c r="AD27" s="178"/>
    </row>
    <row r="28" spans="1:30" x14ac:dyDescent="0.2">
      <c r="A28" s="70"/>
      <c r="B28" s="58"/>
      <c r="C28" s="278" t="s">
        <v>64</v>
      </c>
      <c r="D28" s="152"/>
      <c r="E28" s="81" t="str">
        <f>IF(LEN(B28)=0,"O","")</f>
        <v>O</v>
      </c>
      <c r="F28" s="307"/>
      <c r="G28" s="71"/>
      <c r="H28" s="83"/>
      <c r="T28" s="279" t="s">
        <v>200</v>
      </c>
      <c r="U28" s="208" t="s">
        <v>61</v>
      </c>
      <c r="V28" s="208" t="s">
        <v>62</v>
      </c>
      <c r="W28" s="208" t="s">
        <v>63</v>
      </c>
      <c r="X28" s="199" t="s">
        <v>133</v>
      </c>
      <c r="Y28" s="175">
        <f>IF(LEN(B28)&gt;0,MATCH(B28,T28:W28,0),0)</f>
        <v>0</v>
      </c>
      <c r="Z28" s="175"/>
      <c r="AA28" s="177"/>
      <c r="AB28" s="177"/>
      <c r="AC28" s="177"/>
      <c r="AD28" s="178"/>
    </row>
    <row r="29" spans="1:30" x14ac:dyDescent="0.2">
      <c r="A29" s="70"/>
      <c r="B29" s="58"/>
      <c r="C29" s="237" t="s">
        <v>60</v>
      </c>
      <c r="D29" s="80"/>
      <c r="E29" s="81" t="str">
        <f>IF(AND(LEN(B29)=0,Y28&gt;1),"O","")</f>
        <v/>
      </c>
      <c r="F29" s="307" t="str">
        <f>IF(AND(Z15=0,Y28=1),"This variable is not needed when the sidewalk presence / width variable is set to ‘None’.","")</f>
        <v/>
      </c>
      <c r="G29" s="71"/>
      <c r="H29" s="83"/>
      <c r="T29" s="209" t="s">
        <v>26</v>
      </c>
      <c r="U29" s="208" t="s">
        <v>27</v>
      </c>
      <c r="V29" s="175"/>
      <c r="W29" s="175"/>
      <c r="X29" s="199" t="s">
        <v>134</v>
      </c>
      <c r="Y29" s="175">
        <f>IF(LEN(B29)&gt;0,MATCH(B29,T29:U29,0),0)</f>
        <v>0</v>
      </c>
      <c r="Z29" s="175"/>
      <c r="AA29" s="177"/>
      <c r="AB29" s="177"/>
      <c r="AC29" s="177"/>
      <c r="AD29" s="178"/>
    </row>
    <row r="30" spans="1:30" x14ac:dyDescent="0.2">
      <c r="A30" s="70"/>
      <c r="B30" s="58"/>
      <c r="C30" s="254" t="s">
        <v>115</v>
      </c>
      <c r="D30" s="100"/>
      <c r="E30" s="81" t="str">
        <f>IF(LEN(B30)=0,"O","")</f>
        <v>O</v>
      </c>
      <c r="F30" s="307" t="str">
        <f>IF(AND(Z15=0,AA30=1),"Rounded-Down 50th","")</f>
        <v/>
      </c>
      <c r="G30" s="71"/>
      <c r="H30" s="83"/>
      <c r="T30" s="174" t="s">
        <v>0</v>
      </c>
      <c r="U30" s="175" t="s">
        <v>21</v>
      </c>
      <c r="V30" s="175" t="s">
        <v>22</v>
      </c>
      <c r="W30" s="175"/>
      <c r="X30" s="199" t="s">
        <v>134</v>
      </c>
      <c r="Y30" s="175">
        <f>IF(LEN(B30)&gt;0,MATCH(B30,T30:V30,0),0)</f>
        <v>0</v>
      </c>
      <c r="Z30" s="175"/>
      <c r="AA30" s="177">
        <f>IF(OR(AND(Y30=1,OR(Y28&lt;3,AND(Y28=3,Y29=2))),AND(Y30=2,OR(AND(Y28=2,Y29=2),Y28=1))),1,0)</f>
        <v>0</v>
      </c>
      <c r="AB30" s="177"/>
      <c r="AC30" s="177"/>
      <c r="AD30" s="178"/>
    </row>
    <row r="31" spans="1:30" x14ac:dyDescent="0.2">
      <c r="A31" s="70"/>
      <c r="B31" s="58"/>
      <c r="C31" s="241" t="s">
        <v>20</v>
      </c>
      <c r="E31" s="81" t="str">
        <f>IF(LEN(B31)=0,"O","")</f>
        <v>O</v>
      </c>
      <c r="F31" s="307" t="str">
        <f>IF(AND(Z15=0,AA31=1),"Rounded-Down 50th","")</f>
        <v/>
      </c>
      <c r="G31" s="71"/>
      <c r="H31" s="83"/>
      <c r="T31" s="174" t="s">
        <v>0</v>
      </c>
      <c r="U31" s="175" t="s">
        <v>5</v>
      </c>
      <c r="V31" s="175"/>
      <c r="W31" s="175"/>
      <c r="X31" s="199" t="s">
        <v>134</v>
      </c>
      <c r="Y31" s="175">
        <f>IF(LEN(B31)&gt;0,MATCH(B31,T31:U31,0),0)</f>
        <v>0</v>
      </c>
      <c r="Z31" s="175"/>
      <c r="AA31" s="177">
        <f>IF(Y31=1,1,0)</f>
        <v>0</v>
      </c>
      <c r="AB31" s="177"/>
      <c r="AC31" s="177"/>
      <c r="AD31" s="178"/>
    </row>
    <row r="32" spans="1:30" x14ac:dyDescent="0.2">
      <c r="A32" s="70"/>
      <c r="B32" s="58"/>
      <c r="C32" s="239" t="s">
        <v>70</v>
      </c>
      <c r="D32" s="86"/>
      <c r="E32" s="81" t="str">
        <f>IF(LEN(B32)=0,"O","")</f>
        <v>O</v>
      </c>
      <c r="F32" s="307" t="str">
        <f>IF(AND(Z15=0,AA32=1),"Rounded-Down 50th","")</f>
        <v/>
      </c>
      <c r="G32" s="71"/>
      <c r="H32" s="83"/>
      <c r="T32" s="174" t="s">
        <v>23</v>
      </c>
      <c r="U32" s="175" t="s">
        <v>24</v>
      </c>
      <c r="V32" s="175" t="s">
        <v>4</v>
      </c>
      <c r="W32" s="175"/>
      <c r="X32" s="199" t="s">
        <v>134</v>
      </c>
      <c r="Y32" s="175">
        <f>IF(LEN(B32)&gt;0,MATCH(B32,T32:V32,0),0)</f>
        <v>0</v>
      </c>
      <c r="Z32" s="175"/>
      <c r="AA32" s="177">
        <f>IF(Y32=1,1,0)</f>
        <v>0</v>
      </c>
      <c r="AB32" s="177"/>
      <c r="AC32" s="177"/>
      <c r="AD32" s="178"/>
    </row>
    <row r="33" spans="1:30" ht="13.5" thickBot="1" x14ac:dyDescent="0.25">
      <c r="A33" s="70"/>
      <c r="B33" s="127"/>
      <c r="C33" s="250" t="s">
        <v>71</v>
      </c>
      <c r="D33" s="101"/>
      <c r="E33" s="99" t="str">
        <f>""</f>
        <v/>
      </c>
      <c r="F33" s="308" t="str">
        <f>IF(AND(Z15=0,Y33=1),"Consider location-specific advisory speed warnings.","")</f>
        <v/>
      </c>
      <c r="G33" s="71"/>
      <c r="H33" s="83"/>
      <c r="T33" s="195" t="s">
        <v>2</v>
      </c>
      <c r="U33" s="196" t="s">
        <v>4</v>
      </c>
      <c r="V33" s="186"/>
      <c r="W33" s="186"/>
      <c r="X33" s="203" t="s">
        <v>134</v>
      </c>
      <c r="Y33" s="186">
        <f>IF(LEN(B33)&gt;0,MATCH(B33,T33:U33,0),0)</f>
        <v>0</v>
      </c>
      <c r="Z33" s="186"/>
      <c r="AA33" s="187"/>
      <c r="AB33" s="187"/>
      <c r="AC33" s="187"/>
      <c r="AD33" s="188"/>
    </row>
    <row r="34" spans="1:30" ht="13.5" thickBot="1" x14ac:dyDescent="0.25">
      <c r="A34" s="70"/>
      <c r="B34" s="103"/>
      <c r="C34" s="104"/>
      <c r="D34" s="104"/>
      <c r="E34" s="105"/>
      <c r="F34" s="106"/>
      <c r="G34" s="71"/>
      <c r="T34" s="174"/>
      <c r="U34" s="175"/>
      <c r="V34" s="175"/>
      <c r="W34" s="175"/>
      <c r="X34" s="175"/>
      <c r="Y34" s="175"/>
      <c r="Z34" s="175"/>
      <c r="AA34" s="177"/>
      <c r="AB34" s="177"/>
      <c r="AC34" s="177"/>
      <c r="AD34" s="178"/>
    </row>
    <row r="35" spans="1:30" x14ac:dyDescent="0.2">
      <c r="A35" s="70"/>
      <c r="B35" s="74" t="s">
        <v>17</v>
      </c>
      <c r="C35" s="75"/>
      <c r="D35" s="75"/>
      <c r="E35" s="76"/>
      <c r="F35" s="93" t="s">
        <v>215</v>
      </c>
      <c r="G35" s="71"/>
      <c r="T35" s="197"/>
      <c r="U35" s="175"/>
      <c r="V35" s="175"/>
      <c r="W35" s="175"/>
      <c r="X35" s="175"/>
      <c r="Y35" s="180"/>
      <c r="Z35" s="180"/>
      <c r="AA35" s="198"/>
      <c r="AB35" s="198"/>
      <c r="AC35" s="198"/>
      <c r="AD35" s="178"/>
    </row>
    <row r="36" spans="1:30" x14ac:dyDescent="0.2">
      <c r="A36" s="70"/>
      <c r="B36" s="62"/>
      <c r="C36" s="245" t="s">
        <v>11</v>
      </c>
      <c r="D36" s="1"/>
      <c r="E36" s="81" t="str">
        <f>IF(AND(Y5&lt;&gt;2,ISNUMBER(B36)=FALSE),"O","")</f>
        <v>O</v>
      </c>
      <c r="F36" s="306" t="str">
        <f>IF(Z15=0,IF(Y5=1,IF(B36&lt;=1,"Calculations based on 1 year of crash data or less and should be interpreted with caution.", IF(B36&lt;3,"Consider collecting at least 3 years of crash data.", "")),"These variables are not needed because crash data are not available."),"")</f>
        <v/>
      </c>
      <c r="G36" s="71"/>
      <c r="H36" s="83"/>
      <c r="T36" s="174"/>
      <c r="U36" s="175"/>
      <c r="V36" s="175"/>
      <c r="W36" s="175"/>
      <c r="X36" s="199" t="str">
        <f>IF(AND(Y5=1,B36&lt;=1),"W","A")</f>
        <v>A</v>
      </c>
      <c r="Y36" s="175">
        <f>MAX(B36,0.1)</f>
        <v>0.1</v>
      </c>
      <c r="Z36" s="175">
        <f>COUNTIF(E36:E45,"O")</f>
        <v>4</v>
      </c>
      <c r="AA36" s="177"/>
      <c r="AB36" s="177"/>
      <c r="AC36" s="177"/>
      <c r="AD36" s="178"/>
    </row>
    <row r="37" spans="1:30" x14ac:dyDescent="0.2">
      <c r="A37" s="70"/>
      <c r="B37" s="64"/>
      <c r="C37" s="251" t="s">
        <v>43</v>
      </c>
      <c r="D37" s="107"/>
      <c r="E37" s="81" t="str">
        <f>IF(AND(Y5&lt;&gt;2,ISNUMBER(B37)=FALSE),"O","")</f>
        <v>O</v>
      </c>
      <c r="F37" s="307" t="str">
        <f>IF(AND(Z15=0,Y5=1,OR(B40&gt;D44,B41&gt;D45)),"Critical rates should be higher than average rates.","")</f>
        <v/>
      </c>
      <c r="G37" s="71"/>
      <c r="H37" s="83"/>
      <c r="T37" s="174"/>
      <c r="U37" s="175"/>
      <c r="V37" s="175"/>
      <c r="W37" s="175"/>
      <c r="X37" s="199" t="s">
        <v>132</v>
      </c>
      <c r="Y37" s="200">
        <f>MAX(B37,1)</f>
        <v>1</v>
      </c>
      <c r="Z37" s="175">
        <f>365*Y36*Y37*Y22/10^8</f>
        <v>3.6500000000000003E-8</v>
      </c>
      <c r="AA37" s="177"/>
      <c r="AB37" s="177"/>
      <c r="AC37" s="177"/>
      <c r="AD37" s="178"/>
    </row>
    <row r="38" spans="1:30" x14ac:dyDescent="0.2">
      <c r="A38" s="70"/>
      <c r="B38" s="62"/>
      <c r="C38" s="247" t="s">
        <v>88</v>
      </c>
      <c r="D38" s="83"/>
      <c r="E38" s="81" t="str">
        <f>IF(AND(Y5&lt;&gt;2,ISNUMBER(B38)=FALSE),"O","")</f>
        <v>O</v>
      </c>
      <c r="F38" s="307" t="str">
        <f>IF(AND(Y5=1,Z36=0,ISNUMBER(B38)),"Observed KABCO crash rate = " &amp; ROUND(Z38,1) &amp; " crashes / 100 MVMT","")</f>
        <v/>
      </c>
      <c r="G38" s="71"/>
      <c r="H38" s="83"/>
      <c r="T38" s="174"/>
      <c r="U38" s="175"/>
      <c r="V38" s="175"/>
      <c r="W38" s="175"/>
      <c r="X38" s="181" t="s">
        <v>136</v>
      </c>
      <c r="Y38" s="175"/>
      <c r="Z38" s="175">
        <f>B38/Z$37</f>
        <v>0</v>
      </c>
      <c r="AA38" s="177"/>
      <c r="AB38" s="177"/>
      <c r="AC38" s="177"/>
      <c r="AD38" s="178"/>
    </row>
    <row r="39" spans="1:30" x14ac:dyDescent="0.2">
      <c r="A39" s="70"/>
      <c r="B39" s="62"/>
      <c r="C39" s="244" t="s">
        <v>82</v>
      </c>
      <c r="D39" s="97"/>
      <c r="E39" s="81" t="str">
        <f>IF(AND(Y5&lt;&gt;2,ISNUMBER(B39)=FALSE),"O","")</f>
        <v>O</v>
      </c>
      <c r="F39" s="307" t="str">
        <f>IF(AND(Y5=1,Z36=0),IF(AND(ISNUMBER(B39),B39&lt;=B38),"Observed KABC crash rate = " &amp; ROUND(Z39,1) &amp; " crashes / 100 MVMT","The number of KABC crashes must be less than or equal to the number of KABCO crashes."),"")</f>
        <v/>
      </c>
      <c r="G39" s="71"/>
      <c r="H39" s="83"/>
      <c r="T39" s="174"/>
      <c r="U39" s="175"/>
      <c r="V39" s="175"/>
      <c r="W39" s="175"/>
      <c r="X39" s="175" t="str">
        <f>IF(B39&lt;=B38,"C","W")</f>
        <v>C</v>
      </c>
      <c r="Y39" s="175"/>
      <c r="Z39" s="175">
        <f>B39/Z$37</f>
        <v>0</v>
      </c>
      <c r="AA39" s="177"/>
      <c r="AB39" s="177"/>
      <c r="AC39" s="177"/>
      <c r="AD39" s="178"/>
    </row>
    <row r="40" spans="1:30" x14ac:dyDescent="0.2">
      <c r="A40" s="70"/>
      <c r="B40" s="66"/>
      <c r="C40" s="244" t="s">
        <v>85</v>
      </c>
      <c r="D40" s="97"/>
      <c r="E40" s="81" t="str">
        <f>""</f>
        <v/>
      </c>
      <c r="F40" s="307" t="str">
        <f>IF(AND(Y5=1,Z36=0),IF(ISBLANK(B40),'Support Tables'!F20&amp;IF(ISBLANK('Support Tables'!F20),"A"," a")&amp;"verage KABCO crash rate = " &amp; ROUND(Z40,1) &amp; " crashes / 100 MVMT","Average KABCO crash rate for agency &amp; region (provided by user)"),"")</f>
        <v/>
      </c>
      <c r="G40" s="71"/>
      <c r="H40" s="83"/>
      <c r="T40" s="294" t="s">
        <v>48</v>
      </c>
      <c r="U40" s="293" t="s">
        <v>47</v>
      </c>
      <c r="V40" s="293" t="s">
        <v>47</v>
      </c>
      <c r="W40" s="293" t="s">
        <v>101</v>
      </c>
      <c r="X40" s="181" t="s">
        <v>136</v>
      </c>
      <c r="Y40" s="175" cm="1">
        <f t="array" ref="Y40">IF(OR(AND(B23=2,Y24=1),Y24=0),2,INDEX(T40:W40,1,Y24))</f>
        <v>2</v>
      </c>
      <c r="Z40" s="175">
        <f>IF(LEN(B40)&gt;0,B40,VLOOKUP(Y37,'Support Tables'!G31:K42,MATCH(Y40,'Support Tables'!G31:K31,0),TRUE))</f>
        <v>193.43</v>
      </c>
      <c r="AA40" s="177"/>
      <c r="AB40" s="177"/>
      <c r="AC40" s="177"/>
      <c r="AD40" s="178"/>
    </row>
    <row r="41" spans="1:30" x14ac:dyDescent="0.2">
      <c r="A41" s="70"/>
      <c r="B41" s="66"/>
      <c r="C41" s="244" t="s">
        <v>83</v>
      </c>
      <c r="D41" s="97"/>
      <c r="E41" s="81" t="str">
        <f>""</f>
        <v/>
      </c>
      <c r="F41" s="307" t="str">
        <f>IF(AND(Y5=1,Z36=0),IF(ISBLANK(B41),'Support Tables'!F20&amp;IF(ISBLANK('Support Tables'!F20),"A"," a")&amp;"verage KABC crash rate = " &amp; ROUND(Z41,1) &amp; " crashes / 100 MVMT","Average KABC crash rate for agency &amp; region (provided by user)"),"")</f>
        <v/>
      </c>
      <c r="G41" s="71"/>
      <c r="H41" s="83"/>
      <c r="T41" s="174"/>
      <c r="U41" s="175"/>
      <c r="V41" s="175"/>
      <c r="W41" s="175"/>
      <c r="X41" s="181" t="s">
        <v>136</v>
      </c>
      <c r="Y41" s="175"/>
      <c r="Z41" s="175">
        <f>IF(LEN(B41)&gt;0,B41,VLOOKUP(Y37,'Support Tables'!L31:P42,MATCH(Y40,'Support Tables'!L31:P31,0),TRUE))</f>
        <v>70.040000000000006</v>
      </c>
      <c r="AA41" s="175"/>
      <c r="AB41" s="175"/>
      <c r="AC41" s="175"/>
      <c r="AD41" s="178"/>
    </row>
    <row r="42" spans="1:30" x14ac:dyDescent="0.2">
      <c r="A42" s="70"/>
      <c r="B42" s="162"/>
      <c r="C42" s="167" t="s">
        <v>130</v>
      </c>
      <c r="D42" s="170" t="str">
        <f>IF(AND(B5="Yes",Z36=0),1.3*Z40,"")</f>
        <v/>
      </c>
      <c r="E42" s="81" t="str">
        <f>""</f>
        <v/>
      </c>
      <c r="F42" s="307" t="str">
        <f>IF(AND(Z15=0,SUM(AA42:AC42)=1),"Rounded-Down 50th","")</f>
        <v/>
      </c>
      <c r="G42" s="71"/>
      <c r="H42" s="83"/>
      <c r="T42" s="174"/>
      <c r="U42" s="175"/>
      <c r="V42" s="175"/>
      <c r="W42" s="175"/>
      <c r="X42" s="181" t="s">
        <v>134</v>
      </c>
      <c r="Y42" s="175"/>
      <c r="Z42" s="201"/>
      <c r="AA42" s="202">
        <f>IF(AND(Y5=1,Z38&gt;1.3*Z40,Z38&lt;D44),1,0)</f>
        <v>0</v>
      </c>
      <c r="AB42" s="177"/>
      <c r="AC42" s="177"/>
      <c r="AD42" s="178"/>
    </row>
    <row r="43" spans="1:30" x14ac:dyDescent="0.2">
      <c r="A43" s="70"/>
      <c r="B43" s="163"/>
      <c r="C43" s="167" t="s">
        <v>131</v>
      </c>
      <c r="D43" s="170" t="str">
        <f>IF(AND(B5="Yes",Z36=0),1.3*Z41,"")</f>
        <v/>
      </c>
      <c r="E43" s="81" t="str">
        <f>""</f>
        <v/>
      </c>
      <c r="F43" s="307" t="str">
        <f>IF(AND(Z15=0,SUM(AA43:AC43)=1),"Rounded-Down 50th","")</f>
        <v/>
      </c>
      <c r="G43" s="71"/>
      <c r="H43" s="83"/>
      <c r="T43" s="174"/>
      <c r="U43" s="175"/>
      <c r="V43" s="175"/>
      <c r="W43" s="175"/>
      <c r="X43" s="181" t="s">
        <v>134</v>
      </c>
      <c r="Y43" s="175"/>
      <c r="Z43" s="201"/>
      <c r="AA43" s="202">
        <f>IF(AND(Y5=1,Z39&gt;1.3*Z41,Z39&lt;D45),1,0)</f>
        <v>0</v>
      </c>
      <c r="AB43" s="177"/>
      <c r="AC43" s="177"/>
      <c r="AD43" s="178"/>
    </row>
    <row r="44" spans="1:30" x14ac:dyDescent="0.2">
      <c r="A44" s="70"/>
      <c r="B44" s="163"/>
      <c r="C44" s="168" t="s">
        <v>86</v>
      </c>
      <c r="D44" s="170" t="str">
        <f>IF(AND(B5="Yes",Z36=0),Z40+1.645*SQRT((Z40/Z37))+(1/2/Z37),"")</f>
        <v/>
      </c>
      <c r="E44" s="81" t="str">
        <f>""</f>
        <v/>
      </c>
      <c r="F44" s="307" t="str">
        <f>IF(AND(Z15=0,SUM(AA44:AC44)=1),"Rounded-Down 50th","")</f>
        <v/>
      </c>
      <c r="G44" s="71"/>
      <c r="T44" s="174"/>
      <c r="U44" s="175"/>
      <c r="V44" s="175"/>
      <c r="W44" s="175"/>
      <c r="X44" s="181" t="s">
        <v>134</v>
      </c>
      <c r="Y44" s="175"/>
      <c r="Z44" s="175"/>
      <c r="AA44" s="177">
        <f>IF(AND(Y5=1,Z38&gt;D44),1,0)</f>
        <v>0</v>
      </c>
      <c r="AB44" s="177"/>
      <c r="AC44" s="177"/>
      <c r="AD44" s="178"/>
    </row>
    <row r="45" spans="1:30" ht="13.5" thickBot="1" x14ac:dyDescent="0.25">
      <c r="A45" s="70"/>
      <c r="B45" s="164"/>
      <c r="C45" s="169" t="s">
        <v>84</v>
      </c>
      <c r="D45" s="171" t="str">
        <f>IF(AND(B5="Yes",Z36=0),Z41+1.645*SQRT((Z41/Z37))+(1/2/Z37),"")</f>
        <v/>
      </c>
      <c r="E45" s="90" t="str">
        <f>""</f>
        <v/>
      </c>
      <c r="F45" s="308" t="str">
        <f>IF(AND(Z15=0,SUM(AA45:AC45)=1),"Rounded-Down 50th","")</f>
        <v/>
      </c>
      <c r="G45" s="71"/>
      <c r="T45" s="190"/>
      <c r="U45" s="186"/>
      <c r="V45" s="186"/>
      <c r="W45" s="186"/>
      <c r="X45" s="193" t="s">
        <v>134</v>
      </c>
      <c r="Y45" s="186"/>
      <c r="Z45" s="186"/>
      <c r="AA45" s="187">
        <f>IF(AND(Y5=1,Z39&gt;D45),1,0)</f>
        <v>0</v>
      </c>
      <c r="AB45" s="187"/>
      <c r="AC45" s="187"/>
      <c r="AD45" s="188"/>
    </row>
    <row r="46" spans="1:30" ht="6" customHeight="1" thickBot="1" x14ac:dyDescent="0.25">
      <c r="A46" s="108"/>
      <c r="B46" s="109"/>
      <c r="C46" s="109"/>
      <c r="D46" s="109"/>
      <c r="E46" s="109"/>
      <c r="F46" s="109"/>
      <c r="G46" s="110"/>
    </row>
  </sheetData>
  <sheetProtection algorithmName="SHA-512" hashValue="qPey3Mq+pWy75ZLDZoiBf8XwOeuUA2pb6DsXtli67KK1gGH5FEFcBngjR3/iK9WrgJmhhdyv9Q4pevPpJAosAg==" saltValue="R6scYBJ193RqLJBwOchM5g==" spinCount="100000" sheet="1" formatCells="0" formatColumns="0" formatRows="0"/>
  <mergeCells count="1">
    <mergeCell ref="T2:AD2"/>
  </mergeCells>
  <conditionalFormatting sqref="B29">
    <cfRule type="expression" dxfId="5" priority="33">
      <formula>$Y$28=1</formula>
    </cfRule>
  </conditionalFormatting>
  <conditionalFormatting sqref="B36:B41 D42:D45">
    <cfRule type="expression" dxfId="4" priority="39">
      <formula>$Y$5=2</formula>
    </cfRule>
  </conditionalFormatting>
  <conditionalFormatting sqref="F15 F18:F19 F22:F33 F36:F45">
    <cfRule type="expression" dxfId="3" priority="5">
      <formula>X15="W"</formula>
    </cfRule>
    <cfRule type="expression" dxfId="2" priority="30">
      <formula>X15="C"</formula>
    </cfRule>
    <cfRule type="expression" dxfId="1" priority="31">
      <formula>X15="A"</formula>
    </cfRule>
    <cfRule type="expression" dxfId="0" priority="32">
      <formula>X15="X"</formula>
    </cfRule>
  </conditionalFormatting>
  <dataValidations count="11">
    <dataValidation type="decimal" operator="greaterThanOrEqual" allowBlank="1" showInputMessage="1" showErrorMessage="1" error="Enter a positive numeric value." sqref="B22 B25:B26 B36:B37 B19 B40:B41" xr:uid="{00000000-0002-0000-0500-000000000000}">
      <formula1>0</formula1>
    </dataValidation>
    <dataValidation type="whole" operator="greaterThanOrEqual" allowBlank="1" showInputMessage="1" showErrorMessage="1" error="Enter a positive numeric value." sqref="B10 B18 B23 B38:B39" xr:uid="{00000000-0002-0000-0500-000001000000}">
      <formula1>0</formula1>
    </dataValidation>
    <dataValidation type="list" allowBlank="1" showInputMessage="1" showErrorMessage="1" error="Invalid value.  Please select from the recommended options." sqref="B32" xr:uid="{00000000-0002-0000-0500-000002000000}">
      <formula1>$T$32:$V$32</formula1>
    </dataValidation>
    <dataValidation type="list" allowBlank="1" showInputMessage="1" showErrorMessage="1" error="Invalid value.  Please select from the recommended options." sqref="B31" xr:uid="{00000000-0002-0000-0500-000003000000}">
      <formula1>$T$31:$U$31</formula1>
    </dataValidation>
    <dataValidation type="list" allowBlank="1" showInputMessage="1" showErrorMessage="1" error="Invalid value.  Please select from the recommended options." sqref="B29" xr:uid="{00000000-0002-0000-0500-000004000000}">
      <formula1>$T$29:$U$29</formula1>
    </dataValidation>
    <dataValidation type="list" allowBlank="1" showInputMessage="1" showErrorMessage="1" error="Invalid value.  Please select from the recommended options." sqref="B27" xr:uid="{00000000-0002-0000-0500-000005000000}">
      <formula1>$T$27:$V$27</formula1>
    </dataValidation>
    <dataValidation type="list" allowBlank="1" showInputMessage="1" showErrorMessage="1" error="Invalid value.  Please select from the recommended options." sqref="B24" xr:uid="{00000000-0002-0000-0500-000006000000}">
      <formula1>$T$24:$W$24</formula1>
    </dataValidation>
    <dataValidation type="list" allowBlank="1" showInputMessage="1" showErrorMessage="1" error="Invalid value.  Please select from the recommended options." sqref="B28" xr:uid="{00000000-0002-0000-0500-000007000000}">
      <formula1>$T$28:$W$28</formula1>
    </dataValidation>
    <dataValidation type="list" allowBlank="1" showInputMessage="1" showErrorMessage="1" error="Invalid value.  Please select from the recommended options." sqref="B5" xr:uid="{00000000-0002-0000-0500-000009000000}">
      <formula1>$T$5:$U$5</formula1>
    </dataValidation>
    <dataValidation type="list" allowBlank="1" showInputMessage="1" showErrorMessage="1" error="Invalid value.  Please select from the recommended options." sqref="B33" xr:uid="{00000000-0002-0000-0500-00000A000000}">
      <formula1>$T$33:$U$33</formula1>
    </dataValidation>
    <dataValidation type="list" allowBlank="1" showInputMessage="1" showErrorMessage="1" error="Invalid value.  Please select from the recommended options." sqref="B30" xr:uid="{00000000-0002-0000-0500-00000B000000}">
      <formula1>$T$30:$V$30</formula1>
    </dataValidation>
  </dataValidations>
  <pageMargins left="0.7" right="0.7" top="0.75" bottom="0.75" header="0.3" footer="0.3"/>
  <pageSetup orientation="portrait" horizontalDpi="4294967293" verticalDpi="300" r:id="rId1"/>
  <ignoredErrors>
    <ignoredError sqref="E24 E29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>
    <pageSetUpPr fitToPage="1"/>
  </sheetPr>
  <dimension ref="A1:Q43"/>
  <sheetViews>
    <sheetView showGridLines="0" zoomScaleNormal="100" workbookViewId="0">
      <pane ySplit="3" topLeftCell="A4" activePane="bottomLeft" state="frozen"/>
      <selection pane="bottomLeft"/>
    </sheetView>
  </sheetViews>
  <sheetFormatPr defaultColWidth="8.85546875" defaultRowHeight="12.75" x14ac:dyDescent="0.2"/>
  <cols>
    <col min="1" max="1" width="1.140625" style="4" customWidth="1"/>
    <col min="2" max="2" width="15.7109375" style="4" bestFit="1" customWidth="1"/>
    <col min="3" max="5" width="13.7109375" style="4" bestFit="1" customWidth="1"/>
    <col min="6" max="6" width="14.42578125" style="4" customWidth="1"/>
    <col min="7" max="16" width="15.5703125" style="4" customWidth="1"/>
    <col min="17" max="17" width="1.140625" style="4" customWidth="1"/>
    <col min="18" max="16384" width="8.85546875" style="4"/>
  </cols>
  <sheetData>
    <row r="1" spans="1:17" ht="6" customHeight="1" thickTop="1" thickBot="1" x14ac:dyDescent="0.2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17" ht="13.5" customHeight="1" thickBot="1" x14ac:dyDescent="0.25">
      <c r="A2" s="21"/>
      <c r="B2" s="149" t="s">
        <v>214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1"/>
      <c r="Q2" s="16"/>
    </row>
    <row r="3" spans="1:17" ht="3" customHeight="1" x14ac:dyDescent="0.2">
      <c r="A3" s="21"/>
      <c r="Q3" s="16"/>
    </row>
    <row r="4" spans="1:17" ht="13.5" customHeight="1" x14ac:dyDescent="0.2">
      <c r="A4" s="21"/>
      <c r="K4" s="25" t="str">
        <f>F20&amp;IF(ISBLANK(F20),""," ")&amp;"Crash Rates (crashes / 100 million vehicle-miles traveled)"</f>
        <v>TxDOT 2019 Crash Rates (crashes / 100 million vehicle-miles traveled)</v>
      </c>
      <c r="Q4" s="16"/>
    </row>
    <row r="5" spans="1:17" ht="13.5" customHeight="1" x14ac:dyDescent="0.2">
      <c r="A5" s="21"/>
      <c r="B5" s="28" t="s">
        <v>110</v>
      </c>
      <c r="C5" s="29"/>
      <c r="D5" s="30"/>
      <c r="E5" s="29"/>
      <c r="F5" s="31"/>
      <c r="G5" s="32"/>
      <c r="H5" s="33"/>
      <c r="I5" s="34"/>
      <c r="K5" s="290" t="str">
        <f>F20&amp;IF(ISBLANK(F20),""," ")&amp;"KABCO crashes, limited access"</f>
        <v>TxDOT 2019 KABCO crashes, limited access</v>
      </c>
      <c r="L5" s="5"/>
      <c r="M5" s="5"/>
      <c r="N5" s="291" t="str">
        <f>F20&amp;IF(ISBLANK(F20),""," ")&amp;"KABC crashes, limited access"</f>
        <v>TxDOT 2019 KABC crashes, limited access</v>
      </c>
      <c r="O5" s="5"/>
      <c r="P5" s="6"/>
      <c r="Q5" s="16"/>
    </row>
    <row r="6" spans="1:17" ht="13.5" customHeight="1" x14ac:dyDescent="0.2">
      <c r="A6" s="21"/>
      <c r="B6" s="35" t="s">
        <v>109</v>
      </c>
      <c r="C6" s="36"/>
      <c r="D6" s="36"/>
      <c r="E6" s="37"/>
      <c r="F6" s="38"/>
      <c r="G6" s="39"/>
      <c r="H6" s="40"/>
      <c r="I6" s="41"/>
      <c r="K6" s="52" t="s">
        <v>129</v>
      </c>
      <c r="L6" s="52" t="s">
        <v>45</v>
      </c>
      <c r="M6" s="55" t="s">
        <v>46</v>
      </c>
      <c r="N6" s="56" t="s">
        <v>129</v>
      </c>
      <c r="O6" s="52" t="s">
        <v>45</v>
      </c>
      <c r="P6" s="52" t="s">
        <v>46</v>
      </c>
      <c r="Q6" s="16"/>
    </row>
    <row r="7" spans="1:17" ht="13.5" customHeight="1" x14ac:dyDescent="0.2">
      <c r="A7" s="21"/>
      <c r="B7" s="42" t="s">
        <v>111</v>
      </c>
      <c r="C7" s="37"/>
      <c r="D7" s="36"/>
      <c r="E7" s="37"/>
      <c r="F7" s="38"/>
      <c r="G7" s="39"/>
      <c r="H7" s="40"/>
      <c r="I7" s="41"/>
      <c r="K7" s="2">
        <v>0</v>
      </c>
      <c r="L7" s="285">
        <v>75.47</v>
      </c>
      <c r="M7" s="286">
        <v>38.770000000000003</v>
      </c>
      <c r="N7" s="2">
        <v>0</v>
      </c>
      <c r="O7" s="285">
        <v>24.03</v>
      </c>
      <c r="P7" s="285">
        <v>12.18</v>
      </c>
      <c r="Q7" s="16"/>
    </row>
    <row r="8" spans="1:17" ht="13.5" customHeight="1" x14ac:dyDescent="0.2">
      <c r="A8" s="21"/>
      <c r="B8" s="42" t="s">
        <v>112</v>
      </c>
      <c r="C8" s="37"/>
      <c r="D8" s="36"/>
      <c r="E8" s="37"/>
      <c r="F8" s="38"/>
      <c r="G8" s="39"/>
      <c r="H8" s="40"/>
      <c r="I8" s="41"/>
      <c r="K8" s="2">
        <v>25000</v>
      </c>
      <c r="L8" s="285">
        <v>75.47</v>
      </c>
      <c r="M8" s="286">
        <v>46.09</v>
      </c>
      <c r="N8" s="2">
        <v>25000</v>
      </c>
      <c r="O8" s="285">
        <v>24.03</v>
      </c>
      <c r="P8" s="285">
        <v>12.25</v>
      </c>
      <c r="Q8" s="16"/>
    </row>
    <row r="9" spans="1:17" ht="13.5" customHeight="1" x14ac:dyDescent="0.2">
      <c r="A9" s="21"/>
      <c r="B9" s="43" t="s">
        <v>113</v>
      </c>
      <c r="C9" s="44"/>
      <c r="D9" s="45"/>
      <c r="E9" s="44"/>
      <c r="F9" s="46"/>
      <c r="G9" s="47"/>
      <c r="H9" s="48"/>
      <c r="I9" s="49"/>
      <c r="K9" s="2">
        <v>50000</v>
      </c>
      <c r="L9" s="285">
        <v>73.27</v>
      </c>
      <c r="M9" s="286">
        <v>51.66</v>
      </c>
      <c r="N9" s="2">
        <v>50000</v>
      </c>
      <c r="O9" s="285">
        <v>24.08</v>
      </c>
      <c r="P9" s="285">
        <v>12.6</v>
      </c>
      <c r="Q9" s="16"/>
    </row>
    <row r="10" spans="1:17" ht="13.5" customHeight="1" x14ac:dyDescent="0.2">
      <c r="A10" s="21"/>
      <c r="K10" s="2">
        <v>75000</v>
      </c>
      <c r="L10" s="285">
        <v>85.68</v>
      </c>
      <c r="M10" s="286">
        <v>51.66</v>
      </c>
      <c r="N10" s="2">
        <v>75000</v>
      </c>
      <c r="O10" s="285">
        <v>27.53</v>
      </c>
      <c r="P10" s="285">
        <v>12.6</v>
      </c>
      <c r="Q10" s="16"/>
    </row>
    <row r="11" spans="1:17" ht="13.5" customHeight="1" x14ac:dyDescent="0.2">
      <c r="A11" s="21"/>
      <c r="B11" s="25" t="s">
        <v>118</v>
      </c>
      <c r="K11" s="2">
        <v>100000</v>
      </c>
      <c r="L11" s="285">
        <v>89.26</v>
      </c>
      <c r="M11" s="286">
        <v>51.66</v>
      </c>
      <c r="N11" s="2">
        <v>100000</v>
      </c>
      <c r="O11" s="285">
        <v>31.5</v>
      </c>
      <c r="P11" s="285">
        <v>12.6</v>
      </c>
      <c r="Q11" s="16"/>
    </row>
    <row r="12" spans="1:17" ht="13.5" customHeight="1" x14ac:dyDescent="0.2">
      <c r="A12" s="21"/>
      <c r="B12" s="9" t="s">
        <v>57</v>
      </c>
      <c r="C12" s="8" t="s">
        <v>46</v>
      </c>
      <c r="D12" s="8" t="s">
        <v>52</v>
      </c>
      <c r="E12" s="8" t="s">
        <v>53</v>
      </c>
      <c r="F12" s="8" t="s">
        <v>45</v>
      </c>
      <c r="G12" s="57" t="s">
        <v>54</v>
      </c>
      <c r="K12" s="2">
        <v>150000</v>
      </c>
      <c r="L12" s="285">
        <v>107.41</v>
      </c>
      <c r="M12" s="286">
        <v>51.66</v>
      </c>
      <c r="N12" s="2">
        <v>150000</v>
      </c>
      <c r="O12" s="285">
        <v>37.79</v>
      </c>
      <c r="P12" s="285">
        <v>12.6</v>
      </c>
      <c r="Q12" s="16"/>
    </row>
    <row r="13" spans="1:17" ht="13.5" customHeight="1" x14ac:dyDescent="0.2">
      <c r="A13" s="21"/>
      <c r="B13" s="10" t="s">
        <v>66</v>
      </c>
      <c r="C13" s="300" t="s">
        <v>196</v>
      </c>
      <c r="D13" s="300" t="s">
        <v>196</v>
      </c>
      <c r="E13" s="300" t="s">
        <v>196</v>
      </c>
      <c r="F13" s="300" t="s">
        <v>196</v>
      </c>
      <c r="G13" s="300" t="s">
        <v>196</v>
      </c>
      <c r="K13" s="2">
        <v>200000</v>
      </c>
      <c r="L13" s="285">
        <v>118.4</v>
      </c>
      <c r="M13" s="286">
        <v>51.66</v>
      </c>
      <c r="N13" s="2">
        <v>200000</v>
      </c>
      <c r="O13" s="285">
        <v>40.11</v>
      </c>
      <c r="P13" s="285">
        <v>12.6</v>
      </c>
      <c r="Q13" s="16"/>
    </row>
    <row r="14" spans="1:17" ht="13.5" customHeight="1" x14ac:dyDescent="0.2">
      <c r="A14" s="22"/>
      <c r="B14" s="9" t="s">
        <v>58</v>
      </c>
      <c r="C14" s="301" t="s">
        <v>7</v>
      </c>
      <c r="D14" s="302" t="s">
        <v>6</v>
      </c>
      <c r="E14" s="302" t="s">
        <v>6</v>
      </c>
      <c r="F14" s="302" t="s">
        <v>6</v>
      </c>
      <c r="G14" s="303" t="s">
        <v>197</v>
      </c>
      <c r="I14" s="25" t="str">
        <f>F20&amp;IF(ISBLANK(F20),""," ")&amp;"Crash Rates (crashes / 100 million vehicle-miles traveled)"</f>
        <v>TxDOT 2019 Crash Rates (crashes / 100 million vehicle-miles traveled)</v>
      </c>
      <c r="J14" s="287"/>
      <c r="K14" s="287"/>
      <c r="L14" s="287"/>
      <c r="M14" s="287"/>
      <c r="Q14" s="16"/>
    </row>
    <row r="15" spans="1:17" ht="13.5" customHeight="1" x14ac:dyDescent="0.2">
      <c r="A15" s="21"/>
      <c r="B15" s="9" t="s">
        <v>59</v>
      </c>
      <c r="C15" s="301" t="s">
        <v>7</v>
      </c>
      <c r="D15" s="302" t="s">
        <v>6</v>
      </c>
      <c r="E15" s="302" t="s">
        <v>6</v>
      </c>
      <c r="F15" s="302" t="s">
        <v>6</v>
      </c>
      <c r="G15" s="303" t="s">
        <v>197</v>
      </c>
      <c r="I15" s="290" t="str">
        <f>F20&amp;IF(ISBLANK(F20),""," ")&amp;"KABCO crashes, undeveloped"</f>
        <v>TxDOT 2019 KABCO crashes, undeveloped</v>
      </c>
      <c r="J15" s="292"/>
      <c r="K15" s="292"/>
      <c r="L15" s="292"/>
      <c r="M15" s="291" t="str">
        <f>F20&amp;IF(ISBLANK(F20),""," ")&amp;"KABC crashes, undeveloped"</f>
        <v>TxDOT 2019 KABC crashes, undeveloped</v>
      </c>
      <c r="N15" s="5"/>
      <c r="O15" s="5"/>
      <c r="P15" s="6"/>
      <c r="Q15" s="16"/>
    </row>
    <row r="16" spans="1:17" ht="13.5" customHeight="1" x14ac:dyDescent="0.2">
      <c r="A16" s="21"/>
      <c r="B16" s="9" t="s">
        <v>55</v>
      </c>
      <c r="C16" s="301" t="s">
        <v>7</v>
      </c>
      <c r="D16" s="303" t="s">
        <v>197</v>
      </c>
      <c r="E16" s="302" t="s">
        <v>6</v>
      </c>
      <c r="F16" s="303" t="s">
        <v>197</v>
      </c>
      <c r="G16" s="303" t="s">
        <v>197</v>
      </c>
      <c r="I16" s="52" t="s">
        <v>129</v>
      </c>
      <c r="J16" s="52">
        <v>2</v>
      </c>
      <c r="K16" s="52" t="s">
        <v>47</v>
      </c>
      <c r="L16" s="55" t="s">
        <v>48</v>
      </c>
      <c r="M16" s="56" t="s">
        <v>129</v>
      </c>
      <c r="N16" s="52">
        <v>2</v>
      </c>
      <c r="O16" s="52" t="s">
        <v>47</v>
      </c>
      <c r="P16" s="52" t="s">
        <v>48</v>
      </c>
      <c r="Q16" s="16"/>
    </row>
    <row r="17" spans="1:17" ht="13.5" customHeight="1" x14ac:dyDescent="0.2">
      <c r="A17" s="21"/>
      <c r="B17" s="9" t="s">
        <v>56</v>
      </c>
      <c r="C17" s="301" t="s">
        <v>7</v>
      </c>
      <c r="D17" s="303" t="s">
        <v>197</v>
      </c>
      <c r="E17" s="303" t="s">
        <v>197</v>
      </c>
      <c r="F17" s="303" t="s">
        <v>197</v>
      </c>
      <c r="G17" s="303" t="s">
        <v>197</v>
      </c>
      <c r="I17" s="2">
        <v>0</v>
      </c>
      <c r="J17" s="285">
        <v>118.07</v>
      </c>
      <c r="K17" s="285">
        <v>61.74</v>
      </c>
      <c r="L17" s="286">
        <v>89.18</v>
      </c>
      <c r="M17" s="27">
        <v>0</v>
      </c>
      <c r="N17" s="285">
        <v>45.85</v>
      </c>
      <c r="O17" s="285">
        <v>22.85</v>
      </c>
      <c r="P17" s="285">
        <v>35.57</v>
      </c>
      <c r="Q17" s="16"/>
    </row>
    <row r="18" spans="1:17" ht="13.5" customHeight="1" x14ac:dyDescent="0.2">
      <c r="A18" s="21"/>
      <c r="F18" s="3"/>
      <c r="G18" s="3"/>
      <c r="H18" s="120"/>
      <c r="I18" s="2">
        <v>1250</v>
      </c>
      <c r="J18" s="285">
        <v>96.76</v>
      </c>
      <c r="K18" s="285">
        <v>61.74</v>
      </c>
      <c r="L18" s="286">
        <v>89.18</v>
      </c>
      <c r="M18" s="27">
        <v>1250</v>
      </c>
      <c r="N18" s="285">
        <v>36.22</v>
      </c>
      <c r="O18" s="285">
        <v>22.85</v>
      </c>
      <c r="P18" s="285">
        <v>35.57</v>
      </c>
      <c r="Q18" s="16"/>
    </row>
    <row r="19" spans="1:17" ht="13.5" customHeight="1" x14ac:dyDescent="0.2">
      <c r="A19" s="21"/>
      <c r="B19" s="26" t="s">
        <v>122</v>
      </c>
      <c r="C19" s="3"/>
      <c r="D19" s="3"/>
      <c r="F19" s="26" t="s">
        <v>207</v>
      </c>
      <c r="G19" s="287"/>
      <c r="I19" s="2">
        <v>2500</v>
      </c>
      <c r="J19" s="285">
        <v>84.97</v>
      </c>
      <c r="K19" s="285">
        <v>61.74</v>
      </c>
      <c r="L19" s="286">
        <v>89.18</v>
      </c>
      <c r="M19" s="27">
        <v>2500</v>
      </c>
      <c r="N19" s="285">
        <v>33.729999999999997</v>
      </c>
      <c r="O19" s="285">
        <v>22.85</v>
      </c>
      <c r="P19" s="285">
        <v>35.57</v>
      </c>
      <c r="Q19" s="16"/>
    </row>
    <row r="20" spans="1:17" ht="13.5" customHeight="1" x14ac:dyDescent="0.2">
      <c r="A20" s="21"/>
      <c r="B20" s="14" t="s">
        <v>108</v>
      </c>
      <c r="C20" s="50" t="s">
        <v>99</v>
      </c>
      <c r="D20" s="50" t="s">
        <v>100</v>
      </c>
      <c r="F20" s="288" t="s">
        <v>208</v>
      </c>
      <c r="G20" s="289"/>
      <c r="I20" s="2">
        <v>3750</v>
      </c>
      <c r="J20" s="285">
        <v>83.37</v>
      </c>
      <c r="K20" s="285">
        <v>61.74</v>
      </c>
      <c r="L20" s="286">
        <v>89.18</v>
      </c>
      <c r="M20" s="27">
        <v>3750</v>
      </c>
      <c r="N20" s="285">
        <v>31.69</v>
      </c>
      <c r="O20" s="285">
        <v>22.85</v>
      </c>
      <c r="P20" s="285">
        <v>35.57</v>
      </c>
      <c r="Q20" s="16"/>
    </row>
    <row r="21" spans="1:17" ht="13.5" customHeight="1" x14ac:dyDescent="0.2">
      <c r="A21" s="21"/>
      <c r="B21" s="236" t="s">
        <v>196</v>
      </c>
      <c r="C21" s="213">
        <v>50</v>
      </c>
      <c r="D21" s="213">
        <v>85</v>
      </c>
      <c r="E21" s="304" t="str">
        <f>IF(OR(MOD(C21,5)&lt;&gt;0,MOD(D21,5)&lt;&gt;0),"Speed limits must be a multiple of 5 mph.","")</f>
        <v/>
      </c>
      <c r="I21" s="2">
        <v>5000</v>
      </c>
      <c r="J21" s="285">
        <v>81.91</v>
      </c>
      <c r="K21" s="285">
        <v>61.74</v>
      </c>
      <c r="L21" s="286">
        <v>89.18</v>
      </c>
      <c r="M21" s="27">
        <v>5000</v>
      </c>
      <c r="N21" s="285">
        <v>31.49</v>
      </c>
      <c r="O21" s="285">
        <v>22.85</v>
      </c>
      <c r="P21" s="285">
        <v>35.57</v>
      </c>
      <c r="Q21" s="16"/>
    </row>
    <row r="22" spans="1:17" ht="13.5" customHeight="1" x14ac:dyDescent="0.2">
      <c r="A22" s="21"/>
      <c r="B22" s="13" t="s">
        <v>6</v>
      </c>
      <c r="C22" s="213">
        <v>25</v>
      </c>
      <c r="D22" s="213">
        <v>55</v>
      </c>
      <c r="E22" s="304" t="str">
        <f>IF(OR(MOD(C22,5)&lt;&gt;0,MOD(D22,5)&lt;&gt;0),"Speed limits must be a multiple of 5 mph.","")</f>
        <v/>
      </c>
      <c r="I22" s="2">
        <v>6250</v>
      </c>
      <c r="J22" s="285">
        <v>85.17</v>
      </c>
      <c r="K22" s="285">
        <v>61.74</v>
      </c>
      <c r="L22" s="286">
        <v>86.99</v>
      </c>
      <c r="M22" s="27">
        <v>6250</v>
      </c>
      <c r="N22" s="285">
        <v>33.08</v>
      </c>
      <c r="O22" s="285">
        <v>22.85</v>
      </c>
      <c r="P22" s="285">
        <v>31.58</v>
      </c>
      <c r="Q22" s="16"/>
    </row>
    <row r="23" spans="1:17" ht="13.5" customHeight="1" x14ac:dyDescent="0.2">
      <c r="A23" s="21"/>
      <c r="B23" s="13" t="s">
        <v>7</v>
      </c>
      <c r="C23" s="213">
        <v>25</v>
      </c>
      <c r="D23" s="213">
        <v>70</v>
      </c>
      <c r="E23" s="304" t="str">
        <f>IF(OR(MOD(C23,5)&lt;&gt;0,MOD(D23,5)&lt;&gt;0),"Speed limits must be a multiple of 5 mph.","")</f>
        <v/>
      </c>
      <c r="I23" s="2">
        <v>7500</v>
      </c>
      <c r="J23" s="285">
        <v>96.29</v>
      </c>
      <c r="K23" s="285">
        <v>59.12</v>
      </c>
      <c r="L23" s="286">
        <v>86.99</v>
      </c>
      <c r="M23" s="27">
        <v>7500</v>
      </c>
      <c r="N23" s="285">
        <v>35.51</v>
      </c>
      <c r="O23" s="285">
        <v>21.48</v>
      </c>
      <c r="P23" s="285">
        <v>31.58</v>
      </c>
      <c r="Q23" s="16"/>
    </row>
    <row r="24" spans="1:17" ht="13.5" customHeight="1" x14ac:dyDescent="0.2">
      <c r="A24" s="21"/>
      <c r="B24" s="236" t="s">
        <v>197</v>
      </c>
      <c r="C24" s="213">
        <v>15</v>
      </c>
      <c r="D24" s="213">
        <v>30</v>
      </c>
      <c r="E24" s="304" t="str">
        <f>IF(OR(MOD(C24,5)&lt;&gt;0,MOD(D24,5)&lt;&gt;0),"Speed limits must be a multiple of 5 mph.","")</f>
        <v/>
      </c>
      <c r="I24" s="2">
        <v>8750</v>
      </c>
      <c r="J24" s="285">
        <v>96.29</v>
      </c>
      <c r="K24" s="285">
        <v>59.12</v>
      </c>
      <c r="L24" s="286">
        <v>86.99</v>
      </c>
      <c r="M24" s="27">
        <v>8750</v>
      </c>
      <c r="N24" s="285">
        <v>35.51</v>
      </c>
      <c r="O24" s="285">
        <v>21.48</v>
      </c>
      <c r="P24" s="285">
        <v>31.58</v>
      </c>
      <c r="Q24" s="16"/>
    </row>
    <row r="25" spans="1:17" ht="13.5" customHeight="1" x14ac:dyDescent="0.2">
      <c r="A25" s="21"/>
      <c r="I25" s="2">
        <v>10000</v>
      </c>
      <c r="J25" s="285">
        <v>98.56</v>
      </c>
      <c r="K25" s="285">
        <v>53.35</v>
      </c>
      <c r="L25" s="286">
        <v>85.49</v>
      </c>
      <c r="M25" s="27">
        <v>10000</v>
      </c>
      <c r="N25" s="285">
        <v>36.53</v>
      </c>
      <c r="O25" s="285">
        <v>19.309999999999999</v>
      </c>
      <c r="P25" s="285">
        <v>31.5</v>
      </c>
      <c r="Q25" s="16"/>
    </row>
    <row r="26" spans="1:17" ht="13.5" customHeight="1" x14ac:dyDescent="0.2">
      <c r="A26" s="21"/>
      <c r="B26" s="25" t="s">
        <v>105</v>
      </c>
      <c r="C26" s="1"/>
      <c r="I26" s="2">
        <v>15000</v>
      </c>
      <c r="J26" s="285">
        <v>98.56</v>
      </c>
      <c r="K26" s="285">
        <v>58.59</v>
      </c>
      <c r="L26" s="286">
        <v>100.7</v>
      </c>
      <c r="M26" s="27">
        <v>15000</v>
      </c>
      <c r="N26" s="285">
        <v>36.53</v>
      </c>
      <c r="O26" s="285">
        <v>20.61</v>
      </c>
      <c r="P26" s="285">
        <v>29.66</v>
      </c>
      <c r="Q26" s="16"/>
    </row>
    <row r="27" spans="1:17" ht="13.5" customHeight="1" x14ac:dyDescent="0.2">
      <c r="A27" s="21"/>
      <c r="B27" s="51" t="s">
        <v>12</v>
      </c>
      <c r="C27" s="51" t="s">
        <v>13</v>
      </c>
      <c r="I27" s="2">
        <v>20000</v>
      </c>
      <c r="J27" s="285">
        <v>98.56</v>
      </c>
      <c r="K27" s="285">
        <v>59.14</v>
      </c>
      <c r="L27" s="286">
        <v>100.7</v>
      </c>
      <c r="M27" s="27">
        <v>20000</v>
      </c>
      <c r="N27" s="285">
        <v>36.53</v>
      </c>
      <c r="O27" s="285">
        <v>20.45</v>
      </c>
      <c r="P27" s="285">
        <v>29.66</v>
      </c>
      <c r="Q27" s="16"/>
    </row>
    <row r="28" spans="1:17" ht="13.5" customHeight="1" x14ac:dyDescent="0.2">
      <c r="A28" s="21"/>
      <c r="B28" s="214">
        <v>15</v>
      </c>
      <c r="C28" s="215">
        <v>0.3</v>
      </c>
      <c r="D28" s="15"/>
      <c r="F28" s="24"/>
      <c r="I28" s="2">
        <v>25000</v>
      </c>
      <c r="J28" s="285">
        <v>98.56</v>
      </c>
      <c r="K28" s="285">
        <v>66.41</v>
      </c>
      <c r="L28" s="286">
        <v>100.7</v>
      </c>
      <c r="M28" s="27">
        <v>25000</v>
      </c>
      <c r="N28" s="285">
        <v>36.53</v>
      </c>
      <c r="O28" s="285">
        <v>23.55</v>
      </c>
      <c r="P28" s="285">
        <v>29.66</v>
      </c>
      <c r="Q28" s="16"/>
    </row>
    <row r="29" spans="1:17" ht="13.5" customHeight="1" x14ac:dyDescent="0.2">
      <c r="A29" s="21"/>
      <c r="B29" s="214">
        <v>20</v>
      </c>
      <c r="C29" s="215">
        <v>0.3</v>
      </c>
      <c r="G29" s="25" t="str">
        <f>F20&amp;IF(ISBLANK(F20),""," ")&amp;"Crash Rates (crashes / 100 million vehicle-miles traveled)"</f>
        <v>TxDOT 2019 Crash Rates (crashes / 100 million vehicle-miles traveled)</v>
      </c>
      <c r="H29" s="287"/>
      <c r="I29" s="287"/>
      <c r="J29" s="287"/>
      <c r="K29" s="287"/>
      <c r="L29" s="287"/>
      <c r="Q29" s="16"/>
    </row>
    <row r="30" spans="1:17" ht="13.5" customHeight="1" x14ac:dyDescent="0.2">
      <c r="A30" s="21"/>
      <c r="B30" s="214">
        <v>25</v>
      </c>
      <c r="C30" s="215">
        <v>0.3</v>
      </c>
      <c r="G30" s="290" t="str">
        <f>F20&amp;IF(ISBLANK(F20),""," ")&amp;"KABCO crashes, developed or full access"</f>
        <v>TxDOT 2019 KABCO crashes, developed or full access</v>
      </c>
      <c r="H30" s="292"/>
      <c r="I30" s="292"/>
      <c r="J30" s="292"/>
      <c r="K30" s="292"/>
      <c r="L30" s="291" t="str">
        <f>F20&amp;IF(ISBLANK(F20),""," ")&amp;"KABC crashes, developed or full access"</f>
        <v>TxDOT 2019 KABC crashes, developed or full access</v>
      </c>
      <c r="M30" s="5"/>
      <c r="N30" s="5"/>
      <c r="O30" s="5"/>
      <c r="P30" s="6"/>
      <c r="Q30" s="16"/>
    </row>
    <row r="31" spans="1:17" ht="13.5" customHeight="1" x14ac:dyDescent="0.2">
      <c r="A31" s="21"/>
      <c r="B31" s="214">
        <v>30</v>
      </c>
      <c r="C31" s="216">
        <v>0.3</v>
      </c>
      <c r="G31" s="119" t="s">
        <v>129</v>
      </c>
      <c r="H31" s="52">
        <v>2</v>
      </c>
      <c r="I31" s="52" t="s">
        <v>47</v>
      </c>
      <c r="J31" s="52" t="s">
        <v>48</v>
      </c>
      <c r="K31" s="53" t="s">
        <v>101</v>
      </c>
      <c r="L31" s="56" t="s">
        <v>129</v>
      </c>
      <c r="M31" s="52">
        <v>2</v>
      </c>
      <c r="N31" s="52" t="s">
        <v>47</v>
      </c>
      <c r="O31" s="52" t="s">
        <v>48</v>
      </c>
      <c r="P31" s="54" t="s">
        <v>101</v>
      </c>
      <c r="Q31" s="16"/>
    </row>
    <row r="32" spans="1:17" ht="13.5" customHeight="1" x14ac:dyDescent="0.2">
      <c r="A32" s="21"/>
      <c r="B32" s="214">
        <v>35</v>
      </c>
      <c r="C32" s="216">
        <v>0.35</v>
      </c>
      <c r="G32" s="2">
        <v>0</v>
      </c>
      <c r="H32" s="285">
        <v>193.43</v>
      </c>
      <c r="I32" s="285">
        <v>212.73</v>
      </c>
      <c r="J32" s="285">
        <v>276.61</v>
      </c>
      <c r="K32" s="286">
        <v>245.12</v>
      </c>
      <c r="L32" s="27">
        <v>0</v>
      </c>
      <c r="M32" s="285">
        <v>70.040000000000006</v>
      </c>
      <c r="N32" s="285">
        <v>78.260000000000005</v>
      </c>
      <c r="O32" s="285">
        <v>96.83</v>
      </c>
      <c r="P32" s="285">
        <v>60.21</v>
      </c>
      <c r="Q32" s="16"/>
    </row>
    <row r="33" spans="1:17" ht="13.5" customHeight="1" x14ac:dyDescent="0.2">
      <c r="A33" s="21"/>
      <c r="B33" s="214">
        <v>40</v>
      </c>
      <c r="C33" s="216">
        <v>0.4</v>
      </c>
      <c r="G33" s="2">
        <v>2500</v>
      </c>
      <c r="H33" s="285">
        <v>193.43</v>
      </c>
      <c r="I33" s="285">
        <v>212.73</v>
      </c>
      <c r="J33" s="285">
        <v>276.61</v>
      </c>
      <c r="K33" s="286">
        <v>245.12</v>
      </c>
      <c r="L33" s="27">
        <v>2500</v>
      </c>
      <c r="M33" s="285">
        <v>70.040000000000006</v>
      </c>
      <c r="N33" s="285">
        <v>78.260000000000005</v>
      </c>
      <c r="O33" s="285">
        <v>96.83</v>
      </c>
      <c r="P33" s="285">
        <v>60.21</v>
      </c>
      <c r="Q33" s="16"/>
    </row>
    <row r="34" spans="1:17" ht="13.5" customHeight="1" x14ac:dyDescent="0.2">
      <c r="A34" s="21"/>
      <c r="B34" s="214">
        <v>45</v>
      </c>
      <c r="C34" s="216">
        <v>0.45</v>
      </c>
      <c r="G34" s="2">
        <v>5000</v>
      </c>
      <c r="H34" s="285">
        <v>181.94</v>
      </c>
      <c r="I34" s="285">
        <v>212.73</v>
      </c>
      <c r="J34" s="285">
        <v>276.61</v>
      </c>
      <c r="K34" s="286">
        <v>139.27000000000001</v>
      </c>
      <c r="L34" s="27">
        <v>5000</v>
      </c>
      <c r="M34" s="285">
        <v>63.57</v>
      </c>
      <c r="N34" s="285">
        <v>78.260000000000005</v>
      </c>
      <c r="O34" s="285">
        <v>96.83</v>
      </c>
      <c r="P34" s="285">
        <v>37.29</v>
      </c>
      <c r="Q34" s="16"/>
    </row>
    <row r="35" spans="1:17" ht="13.5" customHeight="1" x14ac:dyDescent="0.2">
      <c r="A35" s="21"/>
      <c r="B35" s="214">
        <v>50</v>
      </c>
      <c r="C35" s="216">
        <v>0.5</v>
      </c>
      <c r="G35" s="2">
        <v>7500</v>
      </c>
      <c r="H35" s="285">
        <v>184.63</v>
      </c>
      <c r="I35" s="285">
        <v>212.73</v>
      </c>
      <c r="J35" s="285">
        <v>276.61</v>
      </c>
      <c r="K35" s="286">
        <v>139.27000000000001</v>
      </c>
      <c r="L35" s="27">
        <v>7500</v>
      </c>
      <c r="M35" s="285">
        <v>68.03</v>
      </c>
      <c r="N35" s="285">
        <v>78.260000000000005</v>
      </c>
      <c r="O35" s="285">
        <v>96.83</v>
      </c>
      <c r="P35" s="285">
        <v>37.29</v>
      </c>
      <c r="Q35" s="16"/>
    </row>
    <row r="36" spans="1:17" ht="13.5" customHeight="1" x14ac:dyDescent="0.2">
      <c r="A36" s="21"/>
      <c r="B36" s="214">
        <v>55</v>
      </c>
      <c r="C36" s="216">
        <v>0.55000000000000004</v>
      </c>
      <c r="D36" s="15"/>
      <c r="F36" s="24"/>
      <c r="G36" s="2">
        <v>10000</v>
      </c>
      <c r="H36" s="285">
        <v>191.34</v>
      </c>
      <c r="I36" s="285">
        <v>212.73</v>
      </c>
      <c r="J36" s="285">
        <v>293.87</v>
      </c>
      <c r="K36" s="286">
        <v>72.180000000000007</v>
      </c>
      <c r="L36" s="27">
        <v>10000</v>
      </c>
      <c r="M36" s="285">
        <v>67.53</v>
      </c>
      <c r="N36" s="285">
        <v>78.260000000000005</v>
      </c>
      <c r="O36" s="285">
        <v>103.89</v>
      </c>
      <c r="P36" s="285">
        <v>22.79</v>
      </c>
      <c r="Q36" s="16"/>
    </row>
    <row r="37" spans="1:17" ht="13.5" customHeight="1" x14ac:dyDescent="0.2">
      <c r="A37" s="21"/>
      <c r="B37" s="214">
        <v>60</v>
      </c>
      <c r="C37" s="216">
        <v>1.2</v>
      </c>
      <c r="G37" s="2">
        <v>15000</v>
      </c>
      <c r="H37" s="285">
        <v>206.51</v>
      </c>
      <c r="I37" s="285">
        <v>213.88</v>
      </c>
      <c r="J37" s="285">
        <v>302.69</v>
      </c>
      <c r="K37" s="286">
        <v>58.31</v>
      </c>
      <c r="L37" s="27">
        <v>15000</v>
      </c>
      <c r="M37" s="285">
        <v>67.02</v>
      </c>
      <c r="N37" s="285">
        <v>78.790000000000006</v>
      </c>
      <c r="O37" s="285">
        <v>108.82</v>
      </c>
      <c r="P37" s="285">
        <v>18.190000000000001</v>
      </c>
      <c r="Q37" s="16"/>
    </row>
    <row r="38" spans="1:17" ht="13.5" customHeight="1" x14ac:dyDescent="0.2">
      <c r="A38" s="21"/>
      <c r="B38" s="214">
        <v>65</v>
      </c>
      <c r="C38" s="216">
        <v>3</v>
      </c>
      <c r="G38" s="2">
        <v>20000</v>
      </c>
      <c r="H38" s="285">
        <v>173.33</v>
      </c>
      <c r="I38" s="285">
        <v>215.64</v>
      </c>
      <c r="J38" s="285">
        <v>321.01</v>
      </c>
      <c r="K38" s="286">
        <v>57.36</v>
      </c>
      <c r="L38" s="27">
        <v>20000</v>
      </c>
      <c r="M38" s="285">
        <v>56.93</v>
      </c>
      <c r="N38" s="285">
        <v>81.17</v>
      </c>
      <c r="O38" s="285">
        <v>118.03</v>
      </c>
      <c r="P38" s="285">
        <v>17.72</v>
      </c>
      <c r="Q38" s="16"/>
    </row>
    <row r="39" spans="1:17" ht="13.5" customHeight="1" x14ac:dyDescent="0.2">
      <c r="A39" s="21"/>
      <c r="B39" s="214">
        <v>70</v>
      </c>
      <c r="C39" s="216">
        <v>6.2</v>
      </c>
      <c r="G39" s="2">
        <v>25000</v>
      </c>
      <c r="H39" s="285">
        <v>173.33</v>
      </c>
      <c r="I39" s="285">
        <v>267.42</v>
      </c>
      <c r="J39" s="285">
        <v>316.16000000000003</v>
      </c>
      <c r="K39" s="286">
        <v>63.87</v>
      </c>
      <c r="L39" s="27">
        <v>25000</v>
      </c>
      <c r="M39" s="285">
        <v>56.93</v>
      </c>
      <c r="N39" s="285">
        <v>99.05</v>
      </c>
      <c r="O39" s="285">
        <v>115.74</v>
      </c>
      <c r="P39" s="285">
        <v>20.07</v>
      </c>
      <c r="Q39" s="16"/>
    </row>
    <row r="40" spans="1:17" ht="13.5" customHeight="1" x14ac:dyDescent="0.2">
      <c r="A40" s="21"/>
      <c r="B40" s="214">
        <v>75</v>
      </c>
      <c r="C40" s="216">
        <v>6.2</v>
      </c>
      <c r="G40" s="2">
        <v>30000</v>
      </c>
      <c r="H40" s="285">
        <v>173.33</v>
      </c>
      <c r="I40" s="285">
        <v>223.84</v>
      </c>
      <c r="J40" s="285">
        <v>288.52</v>
      </c>
      <c r="K40" s="286">
        <v>54.63</v>
      </c>
      <c r="L40" s="27">
        <v>30000</v>
      </c>
      <c r="M40" s="285">
        <v>56.93</v>
      </c>
      <c r="N40" s="285">
        <v>74.8</v>
      </c>
      <c r="O40" s="285">
        <v>105.3</v>
      </c>
      <c r="P40" s="285">
        <v>15.03</v>
      </c>
      <c r="Q40" s="16"/>
    </row>
    <row r="41" spans="1:17" ht="13.5" customHeight="1" x14ac:dyDescent="0.2">
      <c r="A41" s="21"/>
      <c r="B41" s="214">
        <v>80</v>
      </c>
      <c r="C41" s="216">
        <v>6.2</v>
      </c>
      <c r="G41" s="2">
        <v>40000</v>
      </c>
      <c r="H41" s="285">
        <v>173.33</v>
      </c>
      <c r="I41" s="285">
        <v>250.8</v>
      </c>
      <c r="J41" s="285">
        <v>282.43</v>
      </c>
      <c r="K41" s="286">
        <v>54.63</v>
      </c>
      <c r="L41" s="27">
        <v>40000</v>
      </c>
      <c r="M41" s="285">
        <v>56.93</v>
      </c>
      <c r="N41" s="285">
        <v>86.63</v>
      </c>
      <c r="O41" s="285">
        <v>88.57</v>
      </c>
      <c r="P41" s="285">
        <v>15.03</v>
      </c>
      <c r="Q41" s="16"/>
    </row>
    <row r="42" spans="1:17" ht="13.5" customHeight="1" x14ac:dyDescent="0.2">
      <c r="A42" s="21"/>
      <c r="B42" s="214">
        <v>85</v>
      </c>
      <c r="C42" s="216">
        <v>6.2</v>
      </c>
      <c r="G42" s="2">
        <v>50000</v>
      </c>
      <c r="H42" s="285">
        <v>173.33</v>
      </c>
      <c r="I42" s="285">
        <v>215.31</v>
      </c>
      <c r="J42" s="285">
        <v>282.43</v>
      </c>
      <c r="K42" s="286">
        <v>54.63</v>
      </c>
      <c r="L42" s="27">
        <v>50000</v>
      </c>
      <c r="M42" s="285">
        <v>56.93</v>
      </c>
      <c r="N42" s="285">
        <v>74.73</v>
      </c>
      <c r="O42" s="285">
        <v>88.57</v>
      </c>
      <c r="P42" s="285">
        <v>15.03</v>
      </c>
      <c r="Q42" s="16"/>
    </row>
    <row r="43" spans="1:17" ht="6" customHeight="1" thickBot="1" x14ac:dyDescent="0.25">
      <c r="A43" s="23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17"/>
    </row>
  </sheetData>
  <sheetProtection algorithmName="SHA-512" hashValue="VB6k3fvgr4c6KFj39tmT4MPGZR+zxOnfZA7e4R+SN6qhINGGy9mnK0U0YbfBUVs1qsJF9NovU2g71hMAt4Agrw==" saltValue="JjJVM/daw2bfPNPgCJt6/w==" spinCount="100000" sheet="1" objects="1" scenarios="1"/>
  <pageMargins left="0.7" right="0.7" top="0.75" bottom="0.75" header="0.3" footer="0.3"/>
  <pageSetup scale="53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pageSetUpPr fitToPage="1"/>
  </sheetPr>
  <dimension ref="A1:G64"/>
  <sheetViews>
    <sheetView showGridLines="0" zoomScaleNormal="100" workbookViewId="0">
      <pane ySplit="3" topLeftCell="A4" activePane="bottomLeft" state="frozen"/>
      <selection pane="bottomLeft"/>
    </sheetView>
  </sheetViews>
  <sheetFormatPr defaultColWidth="8.85546875" defaultRowHeight="12.75" x14ac:dyDescent="0.2"/>
  <cols>
    <col min="1" max="1" width="1.140625" style="4" customWidth="1"/>
    <col min="2" max="2" width="25.7109375" style="4" customWidth="1"/>
    <col min="3" max="3" width="49.42578125" style="4" customWidth="1"/>
    <col min="4" max="4" width="6.5703125" style="4" customWidth="1"/>
    <col min="5" max="5" width="25.7109375" style="4" customWidth="1"/>
    <col min="6" max="6" width="49.42578125" style="4" customWidth="1"/>
    <col min="7" max="7" width="1.140625" style="4" customWidth="1"/>
    <col min="8" max="16384" width="8.85546875" style="4"/>
  </cols>
  <sheetData>
    <row r="1" spans="1:7" ht="6" customHeight="1" thickTop="1" thickBot="1" x14ac:dyDescent="0.25">
      <c r="A1" s="18"/>
      <c r="B1" s="19"/>
      <c r="C1" s="19"/>
      <c r="D1" s="19"/>
      <c r="E1" s="19"/>
      <c r="F1" s="19"/>
      <c r="G1" s="20"/>
    </row>
    <row r="2" spans="1:7" ht="13.5" customHeight="1" thickBot="1" x14ac:dyDescent="0.25">
      <c r="A2" s="21"/>
      <c r="B2" s="149" t="s">
        <v>214</v>
      </c>
      <c r="C2" s="150"/>
      <c r="D2" s="150"/>
      <c r="E2" s="150"/>
      <c r="F2" s="151"/>
      <c r="G2" s="16"/>
    </row>
    <row r="3" spans="1:7" ht="3" customHeight="1" x14ac:dyDescent="0.2">
      <c r="A3" s="21"/>
      <c r="G3" s="16"/>
    </row>
    <row r="4" spans="1:7" ht="13.5" customHeight="1" thickBot="1" x14ac:dyDescent="0.25">
      <c r="A4" s="21"/>
      <c r="B4" s="25" t="s">
        <v>68</v>
      </c>
      <c r="D4" s="142"/>
      <c r="E4" s="25"/>
      <c r="G4" s="16"/>
    </row>
    <row r="5" spans="1:7" ht="13.5" customHeight="1" x14ac:dyDescent="0.2">
      <c r="A5" s="21"/>
      <c r="B5" s="153" t="s">
        <v>72</v>
      </c>
      <c r="C5" s="154"/>
      <c r="D5" s="142"/>
      <c r="E5" s="28" t="s">
        <v>110</v>
      </c>
      <c r="F5" s="34"/>
      <c r="G5" s="16"/>
    </row>
    <row r="6" spans="1:7" ht="13.5" customHeight="1" thickBot="1" x14ac:dyDescent="0.25">
      <c r="A6" s="21"/>
      <c r="B6" s="156" t="s">
        <v>179</v>
      </c>
      <c r="C6" s="155"/>
      <c r="D6" s="142"/>
      <c r="E6" s="217" t="s">
        <v>175</v>
      </c>
      <c r="F6" s="41"/>
      <c r="G6" s="16"/>
    </row>
    <row r="7" spans="1:7" ht="13.5" customHeight="1" x14ac:dyDescent="0.2">
      <c r="A7" s="21"/>
      <c r="D7" s="142"/>
      <c r="E7" s="218" t="s">
        <v>163</v>
      </c>
      <c r="F7" s="41"/>
      <c r="G7" s="16"/>
    </row>
    <row r="8" spans="1:7" ht="13.5" customHeight="1" thickBot="1" x14ac:dyDescent="0.25">
      <c r="A8" s="21"/>
      <c r="B8" s="25" t="s">
        <v>158</v>
      </c>
      <c r="C8" s="142"/>
      <c r="D8" s="142"/>
      <c r="E8" s="218" t="s">
        <v>164</v>
      </c>
      <c r="F8" s="41"/>
      <c r="G8" s="16"/>
    </row>
    <row r="9" spans="1:7" ht="13.5" customHeight="1" thickBot="1" x14ac:dyDescent="0.25">
      <c r="A9" s="21"/>
      <c r="B9" s="219" t="s">
        <v>45</v>
      </c>
      <c r="C9" s="255" t="s">
        <v>51</v>
      </c>
      <c r="D9" s="142"/>
      <c r="E9" s="218" t="s">
        <v>165</v>
      </c>
      <c r="F9" s="41"/>
      <c r="G9" s="16"/>
    </row>
    <row r="10" spans="1:7" ht="13.5" customHeight="1" x14ac:dyDescent="0.2">
      <c r="A10" s="21"/>
      <c r="B10" s="220">
        <v>85</v>
      </c>
      <c r="C10" s="256" t="s">
        <v>81</v>
      </c>
      <c r="D10" s="142"/>
      <c r="E10" s="218" t="s">
        <v>166</v>
      </c>
      <c r="F10" s="41"/>
      <c r="G10" s="16"/>
    </row>
    <row r="11" spans="1:7" ht="13.5" customHeight="1" x14ac:dyDescent="0.2">
      <c r="A11" s="21"/>
      <c r="B11" s="221">
        <v>83</v>
      </c>
      <c r="C11" s="257" t="s">
        <v>1</v>
      </c>
      <c r="D11" s="142"/>
      <c r="E11" s="218" t="s">
        <v>167</v>
      </c>
      <c r="F11" s="41"/>
      <c r="G11" s="16"/>
    </row>
    <row r="12" spans="1:7" ht="13.5" customHeight="1" thickBot="1" x14ac:dyDescent="0.25">
      <c r="A12" s="21"/>
      <c r="B12" s="222">
        <v>80</v>
      </c>
      <c r="C12" s="258" t="s">
        <v>3</v>
      </c>
      <c r="D12" s="142"/>
      <c r="E12" s="218" t="s">
        <v>160</v>
      </c>
      <c r="F12" s="41"/>
      <c r="G12" s="16"/>
    </row>
    <row r="13" spans="1:7" ht="13.5" customHeight="1" x14ac:dyDescent="0.2">
      <c r="A13" s="21"/>
      <c r="B13" s="220">
        <v>7</v>
      </c>
      <c r="C13" s="259" t="s">
        <v>87</v>
      </c>
      <c r="D13" s="142"/>
      <c r="E13" s="218" t="s">
        <v>162</v>
      </c>
      <c r="F13" s="41"/>
      <c r="G13" s="16"/>
    </row>
    <row r="14" spans="1:7" ht="13.5" customHeight="1" x14ac:dyDescent="0.2">
      <c r="A14" s="21"/>
      <c r="B14" s="223">
        <v>60000</v>
      </c>
      <c r="C14" s="260" t="s">
        <v>127</v>
      </c>
      <c r="D14" s="142"/>
      <c r="E14" s="218" t="s">
        <v>168</v>
      </c>
      <c r="F14" s="41"/>
      <c r="G14" s="16"/>
    </row>
    <row r="15" spans="1:7" ht="13.5" customHeight="1" x14ac:dyDescent="0.2">
      <c r="A15" s="21"/>
      <c r="B15" s="221">
        <v>6</v>
      </c>
      <c r="C15" s="260" t="s">
        <v>102</v>
      </c>
      <c r="D15" s="142"/>
      <c r="E15" s="218" t="s">
        <v>161</v>
      </c>
      <c r="F15" s="41"/>
      <c r="G15" s="16"/>
    </row>
    <row r="16" spans="1:7" ht="13.5" customHeight="1" x14ac:dyDescent="0.2">
      <c r="A16" s="21"/>
      <c r="B16" s="223">
        <v>200</v>
      </c>
      <c r="C16" s="260" t="s">
        <v>128</v>
      </c>
      <c r="D16" s="142"/>
      <c r="E16" s="218" t="s">
        <v>169</v>
      </c>
      <c r="F16" s="41"/>
      <c r="G16" s="16"/>
    </row>
    <row r="17" spans="1:7" ht="13.5" customHeight="1" x14ac:dyDescent="0.2">
      <c r="A17" s="22"/>
      <c r="B17" s="221">
        <v>7</v>
      </c>
      <c r="C17" s="261" t="s">
        <v>8</v>
      </c>
      <c r="D17" s="142"/>
      <c r="E17" s="218"/>
      <c r="F17" s="41"/>
      <c r="G17" s="16"/>
    </row>
    <row r="18" spans="1:7" ht="13.5" customHeight="1" x14ac:dyDescent="0.2">
      <c r="A18" s="21"/>
      <c r="B18" s="284" t="s">
        <v>206</v>
      </c>
      <c r="C18" s="261" t="s">
        <v>31</v>
      </c>
      <c r="D18" s="142"/>
      <c r="E18" s="217" t="s">
        <v>176</v>
      </c>
      <c r="F18" s="41"/>
      <c r="G18" s="16"/>
    </row>
    <row r="19" spans="1:7" ht="13.5" customHeight="1" x14ac:dyDescent="0.2">
      <c r="A19" s="21"/>
      <c r="B19" s="221">
        <v>0</v>
      </c>
      <c r="C19" s="261" t="s">
        <v>32</v>
      </c>
      <c r="D19" s="142"/>
      <c r="E19" s="224" t="s">
        <v>177</v>
      </c>
      <c r="F19" s="49"/>
      <c r="G19" s="16"/>
    </row>
    <row r="20" spans="1:7" ht="13.5" customHeight="1" x14ac:dyDescent="0.2">
      <c r="A20" s="21"/>
      <c r="B20" s="221">
        <v>10</v>
      </c>
      <c r="C20" s="261" t="s">
        <v>33</v>
      </c>
      <c r="D20" s="142"/>
      <c r="G20" s="16"/>
    </row>
    <row r="21" spans="1:7" ht="13.5" customHeight="1" thickBot="1" x14ac:dyDescent="0.25">
      <c r="A21" s="21"/>
      <c r="B21" s="221">
        <v>10</v>
      </c>
      <c r="C21" s="261" t="s">
        <v>34</v>
      </c>
      <c r="D21" s="142"/>
      <c r="E21" s="25" t="s">
        <v>151</v>
      </c>
      <c r="F21" s="225"/>
      <c r="G21" s="16"/>
    </row>
    <row r="22" spans="1:7" ht="13.5" customHeight="1" thickBot="1" x14ac:dyDescent="0.25">
      <c r="A22" s="21"/>
      <c r="B22" s="226" t="s">
        <v>4</v>
      </c>
      <c r="C22" s="262" t="s">
        <v>71</v>
      </c>
      <c r="D22" s="142"/>
      <c r="E22" s="227">
        <v>55</v>
      </c>
      <c r="F22" s="256" t="s">
        <v>81</v>
      </c>
      <c r="G22" s="16"/>
    </row>
    <row r="23" spans="1:7" ht="13.5" customHeight="1" x14ac:dyDescent="0.2">
      <c r="A23" s="21"/>
      <c r="B23" s="227">
        <v>3</v>
      </c>
      <c r="C23" s="263" t="s">
        <v>11</v>
      </c>
      <c r="D23" s="142"/>
      <c r="E23" s="228">
        <v>53</v>
      </c>
      <c r="F23" s="257" t="s">
        <v>1</v>
      </c>
      <c r="G23" s="16"/>
    </row>
    <row r="24" spans="1:7" ht="13.5" customHeight="1" thickBot="1" x14ac:dyDescent="0.25">
      <c r="A24" s="21"/>
      <c r="B24" s="229">
        <v>60000</v>
      </c>
      <c r="C24" s="264" t="s">
        <v>43</v>
      </c>
      <c r="D24" s="142"/>
      <c r="E24" s="230">
        <v>50</v>
      </c>
      <c r="F24" s="258" t="s">
        <v>3</v>
      </c>
      <c r="G24" s="16"/>
    </row>
    <row r="25" spans="1:7" ht="13.5" customHeight="1" x14ac:dyDescent="0.2">
      <c r="A25" s="21"/>
      <c r="B25" s="228">
        <v>27</v>
      </c>
      <c r="C25" s="265" t="s">
        <v>88</v>
      </c>
      <c r="D25" s="142"/>
      <c r="E25" s="227">
        <v>1</v>
      </c>
      <c r="F25" s="259" t="s">
        <v>87</v>
      </c>
      <c r="G25" s="16"/>
    </row>
    <row r="26" spans="1:7" ht="13.5" customHeight="1" thickBot="1" x14ac:dyDescent="0.25">
      <c r="A26" s="21"/>
      <c r="B26" s="230">
        <v>7</v>
      </c>
      <c r="C26" s="266" t="s">
        <v>82</v>
      </c>
      <c r="D26" s="225"/>
      <c r="E26" s="228">
        <v>4</v>
      </c>
      <c r="F26" s="260" t="s">
        <v>102</v>
      </c>
      <c r="G26" s="16"/>
    </row>
    <row r="27" spans="1:7" ht="13.5" customHeight="1" x14ac:dyDescent="0.2">
      <c r="A27" s="21"/>
      <c r="B27" s="11"/>
      <c r="C27" s="142"/>
      <c r="D27" s="142"/>
      <c r="E27" s="231" t="s">
        <v>98</v>
      </c>
      <c r="F27" s="269" t="s">
        <v>18</v>
      </c>
      <c r="G27" s="16"/>
    </row>
    <row r="28" spans="1:7" ht="13.5" customHeight="1" thickBot="1" x14ac:dyDescent="0.25">
      <c r="A28" s="21"/>
      <c r="B28" s="25" t="s">
        <v>159</v>
      </c>
      <c r="C28" s="142"/>
      <c r="D28" s="142"/>
      <c r="E28" s="228">
        <v>3</v>
      </c>
      <c r="F28" s="269" t="s">
        <v>19</v>
      </c>
      <c r="G28" s="16"/>
    </row>
    <row r="29" spans="1:7" ht="13.5" customHeight="1" thickBot="1" x14ac:dyDescent="0.25">
      <c r="A29" s="21"/>
      <c r="B29" s="232" t="s">
        <v>46</v>
      </c>
      <c r="C29" s="255" t="s">
        <v>51</v>
      </c>
      <c r="D29" s="142"/>
      <c r="E29" s="228">
        <v>40</v>
      </c>
      <c r="F29" s="268" t="s">
        <v>121</v>
      </c>
      <c r="G29" s="16"/>
    </row>
    <row r="30" spans="1:7" ht="13.5" customHeight="1" x14ac:dyDescent="0.2">
      <c r="A30" s="21"/>
      <c r="B30" s="220">
        <v>85</v>
      </c>
      <c r="C30" s="256" t="s">
        <v>81</v>
      </c>
      <c r="D30" s="142"/>
      <c r="E30" s="233" t="s">
        <v>183</v>
      </c>
      <c r="F30" s="270" t="s">
        <v>178</v>
      </c>
      <c r="G30" s="16"/>
    </row>
    <row r="31" spans="1:7" ht="13.5" customHeight="1" x14ac:dyDescent="0.2">
      <c r="A31" s="21"/>
      <c r="B31" s="221">
        <v>83</v>
      </c>
      <c r="C31" s="257" t="s">
        <v>1</v>
      </c>
      <c r="D31" s="142"/>
      <c r="E31" s="233" t="s">
        <v>62</v>
      </c>
      <c r="F31" s="271" t="s">
        <v>64</v>
      </c>
      <c r="G31" s="16"/>
    </row>
    <row r="32" spans="1:7" ht="13.5" customHeight="1" thickBot="1" x14ac:dyDescent="0.25">
      <c r="A32" s="21"/>
      <c r="B32" s="222">
        <v>80</v>
      </c>
      <c r="C32" s="258" t="s">
        <v>3</v>
      </c>
      <c r="D32" s="142"/>
      <c r="E32" s="233" t="s">
        <v>26</v>
      </c>
      <c r="F32" s="271" t="s">
        <v>60</v>
      </c>
      <c r="G32" s="16"/>
    </row>
    <row r="33" spans="1:7" ht="13.5" customHeight="1" x14ac:dyDescent="0.2">
      <c r="A33" s="21"/>
      <c r="B33" s="220">
        <v>7</v>
      </c>
      <c r="C33" s="259" t="s">
        <v>87</v>
      </c>
      <c r="D33" s="142"/>
      <c r="E33" s="233" t="s">
        <v>22</v>
      </c>
      <c r="F33" s="270" t="s">
        <v>115</v>
      </c>
      <c r="G33" s="16"/>
    </row>
    <row r="34" spans="1:7" ht="13.5" customHeight="1" x14ac:dyDescent="0.2">
      <c r="A34" s="21"/>
      <c r="B34" s="223">
        <v>25000</v>
      </c>
      <c r="C34" s="260" t="s">
        <v>127</v>
      </c>
      <c r="D34" s="142"/>
      <c r="E34" s="233" t="s">
        <v>5</v>
      </c>
      <c r="F34" s="269" t="s">
        <v>20</v>
      </c>
      <c r="G34" s="16"/>
    </row>
    <row r="35" spans="1:7" ht="13.5" customHeight="1" x14ac:dyDescent="0.2">
      <c r="A35" s="21"/>
      <c r="B35" s="221">
        <v>6</v>
      </c>
      <c r="C35" s="260" t="s">
        <v>102</v>
      </c>
      <c r="D35" s="142"/>
      <c r="E35" s="233" t="s">
        <v>4</v>
      </c>
      <c r="F35" s="272" t="s">
        <v>69</v>
      </c>
      <c r="G35" s="16"/>
    </row>
    <row r="36" spans="1:7" ht="13.5" customHeight="1" x14ac:dyDescent="0.2">
      <c r="A36" s="21"/>
      <c r="B36" s="223">
        <v>200</v>
      </c>
      <c r="C36" s="260" t="s">
        <v>128</v>
      </c>
      <c r="D36" s="142"/>
      <c r="E36" s="233" t="s">
        <v>4</v>
      </c>
      <c r="F36" s="272" t="s">
        <v>70</v>
      </c>
      <c r="G36" s="16"/>
    </row>
    <row r="37" spans="1:7" ht="13.5" customHeight="1" thickBot="1" x14ac:dyDescent="0.25">
      <c r="A37" s="21"/>
      <c r="B37" s="221">
        <v>7</v>
      </c>
      <c r="C37" s="261" t="s">
        <v>8</v>
      </c>
      <c r="D37" s="142"/>
      <c r="E37" s="226" t="s">
        <v>4</v>
      </c>
      <c r="F37" s="262" t="s">
        <v>71</v>
      </c>
      <c r="G37" s="16"/>
    </row>
    <row r="38" spans="1:7" ht="13.5" customHeight="1" x14ac:dyDescent="0.2">
      <c r="A38" s="21"/>
      <c r="B38" s="221">
        <v>80</v>
      </c>
      <c r="C38" s="261" t="s">
        <v>31</v>
      </c>
      <c r="D38" s="142"/>
      <c r="E38" s="227">
        <v>3</v>
      </c>
      <c r="F38" s="263" t="s">
        <v>11</v>
      </c>
      <c r="G38" s="16"/>
    </row>
    <row r="39" spans="1:7" ht="13.5" customHeight="1" x14ac:dyDescent="0.2">
      <c r="A39" s="21"/>
      <c r="B39" s="221">
        <v>0</v>
      </c>
      <c r="C39" s="261" t="s">
        <v>32</v>
      </c>
      <c r="D39" s="142"/>
      <c r="E39" s="229">
        <v>30000</v>
      </c>
      <c r="F39" s="264" t="s">
        <v>43</v>
      </c>
      <c r="G39" s="16"/>
    </row>
    <row r="40" spans="1:7" ht="13.5" customHeight="1" x14ac:dyDescent="0.2">
      <c r="A40" s="21"/>
      <c r="B40" s="221">
        <v>10</v>
      </c>
      <c r="C40" s="261" t="s">
        <v>33</v>
      </c>
      <c r="D40" s="142"/>
      <c r="E40" s="228">
        <v>53</v>
      </c>
      <c r="F40" s="265" t="s">
        <v>88</v>
      </c>
      <c r="G40" s="16"/>
    </row>
    <row r="41" spans="1:7" ht="13.5" customHeight="1" thickBot="1" x14ac:dyDescent="0.25">
      <c r="A41" s="21"/>
      <c r="B41" s="221">
        <v>10</v>
      </c>
      <c r="C41" s="261" t="s">
        <v>34</v>
      </c>
      <c r="D41" s="142"/>
      <c r="E41" s="230">
        <v>19</v>
      </c>
      <c r="F41" s="266" t="s">
        <v>82</v>
      </c>
      <c r="G41" s="16"/>
    </row>
    <row r="42" spans="1:7" ht="13.5" customHeight="1" thickBot="1" x14ac:dyDescent="0.25">
      <c r="A42" s="21"/>
      <c r="B42" s="226" t="s">
        <v>4</v>
      </c>
      <c r="C42" s="262" t="s">
        <v>71</v>
      </c>
      <c r="D42" s="142"/>
      <c r="G42" s="16"/>
    </row>
    <row r="43" spans="1:7" ht="13.5" customHeight="1" x14ac:dyDescent="0.2">
      <c r="A43" s="21"/>
      <c r="B43" s="227">
        <v>3</v>
      </c>
      <c r="C43" s="263" t="s">
        <v>11</v>
      </c>
      <c r="D43" s="142"/>
      <c r="G43" s="16"/>
    </row>
    <row r="44" spans="1:7" ht="13.5" customHeight="1" thickBot="1" x14ac:dyDescent="0.25">
      <c r="A44" s="21"/>
      <c r="B44" s="229">
        <v>25000</v>
      </c>
      <c r="C44" s="264" t="s">
        <v>43</v>
      </c>
      <c r="D44" s="142"/>
      <c r="E44" s="25" t="s">
        <v>153</v>
      </c>
      <c r="F44" s="142"/>
      <c r="G44" s="16"/>
    </row>
    <row r="45" spans="1:7" ht="13.5" customHeight="1" x14ac:dyDescent="0.2">
      <c r="A45" s="21"/>
      <c r="B45" s="228">
        <v>16</v>
      </c>
      <c r="C45" s="265" t="s">
        <v>88</v>
      </c>
      <c r="D45" s="142"/>
      <c r="E45" s="227">
        <v>30</v>
      </c>
      <c r="F45" s="256" t="s">
        <v>81</v>
      </c>
      <c r="G45" s="16"/>
    </row>
    <row r="46" spans="1:7" ht="13.5" customHeight="1" thickBot="1" x14ac:dyDescent="0.25">
      <c r="A46" s="21"/>
      <c r="B46" s="230">
        <v>4</v>
      </c>
      <c r="C46" s="266" t="s">
        <v>82</v>
      </c>
      <c r="D46" s="142"/>
      <c r="E46" s="230">
        <v>25</v>
      </c>
      <c r="F46" s="258" t="s">
        <v>3</v>
      </c>
      <c r="G46" s="16"/>
    </row>
    <row r="47" spans="1:7" ht="13.5" customHeight="1" x14ac:dyDescent="0.2">
      <c r="A47" s="21"/>
      <c r="D47" s="142"/>
      <c r="E47" s="227">
        <v>1</v>
      </c>
      <c r="F47" s="259" t="s">
        <v>87</v>
      </c>
      <c r="G47" s="16"/>
    </row>
    <row r="48" spans="1:7" ht="13.5" customHeight="1" thickBot="1" x14ac:dyDescent="0.25">
      <c r="A48" s="21"/>
      <c r="B48" s="25" t="s">
        <v>152</v>
      </c>
      <c r="C48" s="142"/>
      <c r="D48" s="142"/>
      <c r="E48" s="228">
        <v>4</v>
      </c>
      <c r="F48" s="260" t="s">
        <v>102</v>
      </c>
      <c r="G48" s="16"/>
    </row>
    <row r="49" spans="1:7" ht="13.5" customHeight="1" x14ac:dyDescent="0.2">
      <c r="A49" s="21"/>
      <c r="B49" s="220">
        <v>70</v>
      </c>
      <c r="C49" s="256" t="s">
        <v>81</v>
      </c>
      <c r="D49" s="142"/>
      <c r="E49" s="233" t="s">
        <v>98</v>
      </c>
      <c r="F49" s="269" t="s">
        <v>18</v>
      </c>
      <c r="G49" s="16"/>
    </row>
    <row r="50" spans="1:7" ht="13.5" customHeight="1" x14ac:dyDescent="0.2">
      <c r="A50" s="21"/>
      <c r="B50" s="221">
        <v>68</v>
      </c>
      <c r="C50" s="257" t="s">
        <v>1</v>
      </c>
      <c r="D50" s="142"/>
      <c r="E50" s="228">
        <v>8</v>
      </c>
      <c r="F50" s="269" t="s">
        <v>19</v>
      </c>
      <c r="G50" s="16"/>
    </row>
    <row r="51" spans="1:7" ht="13.5" customHeight="1" thickBot="1" x14ac:dyDescent="0.25">
      <c r="A51" s="21"/>
      <c r="B51" s="222">
        <v>65</v>
      </c>
      <c r="C51" s="258" t="s">
        <v>3</v>
      </c>
      <c r="D51" s="142"/>
      <c r="E51" s="228">
        <v>60</v>
      </c>
      <c r="F51" s="268" t="s">
        <v>121</v>
      </c>
      <c r="G51" s="16"/>
    </row>
    <row r="52" spans="1:7" ht="13.5" customHeight="1" x14ac:dyDescent="0.2">
      <c r="A52" s="21"/>
      <c r="B52" s="220">
        <v>7</v>
      </c>
      <c r="C52" s="259" t="s">
        <v>87</v>
      </c>
      <c r="D52" s="142"/>
      <c r="E52" s="233" t="s">
        <v>183</v>
      </c>
      <c r="F52" s="270" t="s">
        <v>178</v>
      </c>
      <c r="G52" s="16"/>
    </row>
    <row r="53" spans="1:7" ht="13.5" customHeight="1" x14ac:dyDescent="0.2">
      <c r="A53" s="21"/>
      <c r="B53" s="223">
        <v>15000</v>
      </c>
      <c r="C53" s="260" t="s">
        <v>127</v>
      </c>
      <c r="D53" s="142"/>
      <c r="E53" s="233" t="s">
        <v>62</v>
      </c>
      <c r="F53" s="271" t="s">
        <v>64</v>
      </c>
      <c r="G53" s="16"/>
    </row>
    <row r="54" spans="1:7" ht="13.5" customHeight="1" x14ac:dyDescent="0.2">
      <c r="A54" s="21"/>
      <c r="B54" s="221">
        <v>4</v>
      </c>
      <c r="C54" s="260" t="s">
        <v>102</v>
      </c>
      <c r="D54" s="142"/>
      <c r="E54" s="233" t="s">
        <v>26</v>
      </c>
      <c r="F54" s="271" t="s">
        <v>60</v>
      </c>
      <c r="G54" s="16"/>
    </row>
    <row r="55" spans="1:7" ht="13.5" customHeight="1" x14ac:dyDescent="0.2">
      <c r="A55" s="21"/>
      <c r="B55" s="234" t="s">
        <v>98</v>
      </c>
      <c r="C55" s="267" t="s">
        <v>18</v>
      </c>
      <c r="D55" s="142"/>
      <c r="E55" s="233" t="s">
        <v>22</v>
      </c>
      <c r="F55" s="270" t="s">
        <v>115</v>
      </c>
      <c r="G55" s="16"/>
    </row>
    <row r="56" spans="1:7" ht="13.5" customHeight="1" x14ac:dyDescent="0.2">
      <c r="A56" s="21"/>
      <c r="B56" s="228">
        <v>15</v>
      </c>
      <c r="C56" s="268" t="s">
        <v>121</v>
      </c>
      <c r="D56" s="142"/>
      <c r="E56" s="233" t="s">
        <v>5</v>
      </c>
      <c r="F56" s="269" t="s">
        <v>20</v>
      </c>
      <c r="G56" s="16"/>
    </row>
    <row r="57" spans="1:7" ht="13.5" customHeight="1" x14ac:dyDescent="0.2">
      <c r="A57" s="21"/>
      <c r="B57" s="228">
        <v>12</v>
      </c>
      <c r="C57" s="261" t="s">
        <v>9</v>
      </c>
      <c r="D57" s="142"/>
      <c r="E57" s="233" t="s">
        <v>4</v>
      </c>
      <c r="F57" s="272" t="s">
        <v>70</v>
      </c>
      <c r="G57" s="16"/>
    </row>
    <row r="58" spans="1:7" ht="13.5" customHeight="1" thickBot="1" x14ac:dyDescent="0.25">
      <c r="A58" s="21"/>
      <c r="B58" s="228">
        <v>10</v>
      </c>
      <c r="C58" s="261" t="s">
        <v>10</v>
      </c>
      <c r="D58" s="142"/>
      <c r="E58" s="235" t="s">
        <v>4</v>
      </c>
      <c r="F58" s="262" t="s">
        <v>71</v>
      </c>
      <c r="G58" s="16"/>
    </row>
    <row r="59" spans="1:7" ht="13.5" customHeight="1" thickBot="1" x14ac:dyDescent="0.25">
      <c r="A59" s="21"/>
      <c r="B59" s="226" t="s">
        <v>4</v>
      </c>
      <c r="C59" s="262" t="s">
        <v>71</v>
      </c>
      <c r="D59" s="142"/>
      <c r="E59" s="227">
        <v>3</v>
      </c>
      <c r="F59" s="263" t="s">
        <v>11</v>
      </c>
      <c r="G59" s="16"/>
    </row>
    <row r="60" spans="1:7" ht="13.5" customHeight="1" x14ac:dyDescent="0.2">
      <c r="A60" s="21"/>
      <c r="B60" s="227">
        <v>3</v>
      </c>
      <c r="C60" s="263" t="s">
        <v>11</v>
      </c>
      <c r="D60" s="142"/>
      <c r="E60" s="229">
        <v>10000</v>
      </c>
      <c r="F60" s="264" t="s">
        <v>43</v>
      </c>
      <c r="G60" s="16"/>
    </row>
    <row r="61" spans="1:7" ht="13.5" customHeight="1" x14ac:dyDescent="0.2">
      <c r="A61" s="21"/>
      <c r="B61" s="229">
        <v>15000</v>
      </c>
      <c r="C61" s="264" t="s">
        <v>43</v>
      </c>
      <c r="D61" s="142"/>
      <c r="E61" s="228">
        <v>25</v>
      </c>
      <c r="F61" s="265" t="s">
        <v>88</v>
      </c>
      <c r="G61" s="16"/>
    </row>
    <row r="62" spans="1:7" ht="13.5" customHeight="1" thickBot="1" x14ac:dyDescent="0.25">
      <c r="A62" s="21"/>
      <c r="B62" s="228">
        <v>22</v>
      </c>
      <c r="C62" s="265" t="s">
        <v>88</v>
      </c>
      <c r="D62" s="142"/>
      <c r="E62" s="230">
        <v>8</v>
      </c>
      <c r="F62" s="266" t="s">
        <v>82</v>
      </c>
      <c r="G62" s="16"/>
    </row>
    <row r="63" spans="1:7" ht="13.5" customHeight="1" thickBot="1" x14ac:dyDescent="0.25">
      <c r="A63" s="21"/>
      <c r="B63" s="230">
        <v>7</v>
      </c>
      <c r="C63" s="266" t="s">
        <v>82</v>
      </c>
      <c r="D63" s="142"/>
      <c r="G63" s="16"/>
    </row>
    <row r="64" spans="1:7" ht="6" customHeight="1" thickBot="1" x14ac:dyDescent="0.25">
      <c r="A64" s="23"/>
      <c r="B64" s="7"/>
      <c r="C64" s="7"/>
      <c r="D64" s="7"/>
      <c r="E64" s="7"/>
      <c r="F64" s="7"/>
      <c r="G64" s="17"/>
    </row>
  </sheetData>
  <sheetProtection algorithmName="SHA-512" hashValue="4FnPtbRoRKC7C5MVhTGIErOT8h8x74/p3JZoCsvSHw6TmmbnXo+fioo6alcDaksL7Id/u5aXxqxcjuErI8Eo4Q==" saltValue="8VsGLLZ3LEnd0KaU9BU0eQ==" spinCount="100000" sheet="1" objects="1" scenarios="1"/>
  <pageMargins left="0.7" right="0.7" top="0.75" bottom="0.75" header="0.3" footer="0.3"/>
  <pageSetup scale="56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6ad453-42e5-4884-9aaf-294c85d829c4">
      <Terms xmlns="http://schemas.microsoft.com/office/infopath/2007/PartnerControls"/>
    </lcf76f155ced4ddcb4097134ff3c332f>
    <TaxCatchAll xmlns="73905da8-2143-4a88-bf93-a7fe270bc64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53DFD53A8C8341B8D2DBA9DE88B5E9" ma:contentTypeVersion="18" ma:contentTypeDescription="Create a new document." ma:contentTypeScope="" ma:versionID="f52079922fb511d9b06a4c1ab8424c8c">
  <xsd:schema xmlns:xsd="http://www.w3.org/2001/XMLSchema" xmlns:xs="http://www.w3.org/2001/XMLSchema" xmlns:p="http://schemas.microsoft.com/office/2006/metadata/properties" xmlns:ns2="696ad453-42e5-4884-9aaf-294c85d829c4" xmlns:ns3="73905da8-2143-4a88-bf93-a7fe270bc64f" targetNamespace="http://schemas.microsoft.com/office/2006/metadata/properties" ma:root="true" ma:fieldsID="1ce6cd5d2275d81ef4ef909b763757d5" ns2:_="" ns3:_="">
    <xsd:import namespace="696ad453-42e5-4884-9aaf-294c85d829c4"/>
    <xsd:import namespace="73905da8-2143-4a88-bf93-a7fe270bc6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6ad453-42e5-4884-9aaf-294c85d829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9bbf02c-0cc7-4a19-a098-140ed2a185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905da8-2143-4a88-bf93-a7fe270bc64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314ae3f-2450-49a7-8e74-8475aaa46328}" ma:internalName="TaxCatchAll" ma:showField="CatchAllData" ma:web="73905da8-2143-4a88-bf93-a7fe270bc6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C7A01F-A2DF-476A-8F58-CEE7F662AAB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01361C-5DCC-411D-8B34-8B4AA76D9241}">
  <ds:schemaRefs>
    <ds:schemaRef ds:uri="http://schemas.microsoft.com/office/2006/metadata/properties"/>
    <ds:schemaRef ds:uri="http://schemas.microsoft.com/office/infopath/2007/PartnerControls"/>
    <ds:schemaRef ds:uri="696ad453-42e5-4884-9aaf-294c85d829c4"/>
    <ds:schemaRef ds:uri="73905da8-2143-4a88-bf93-a7fe270bc64f"/>
  </ds:schemaRefs>
</ds:datastoreItem>
</file>

<file path=customXml/itemProps3.xml><?xml version="1.0" encoding="utf-8"?>
<ds:datastoreItem xmlns:ds="http://schemas.openxmlformats.org/officeDocument/2006/customXml" ds:itemID="{5DCEFB9E-CD03-4ED8-8CB5-AE4176CF16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6ad453-42e5-4884-9aaf-294c85d829c4"/>
    <ds:schemaRef ds:uri="73905da8-2143-4a88-bf93-a7fe270bc6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Instructions</vt:lpstr>
      <vt:lpstr>SLSG Identification</vt:lpstr>
      <vt:lpstr>Limited access</vt:lpstr>
      <vt:lpstr>Developed</vt:lpstr>
      <vt:lpstr>Undeveloped</vt:lpstr>
      <vt:lpstr>Full access</vt:lpstr>
      <vt:lpstr>Support Tables</vt:lpstr>
      <vt:lpstr>Default Values</vt:lpstr>
      <vt:lpstr>Developed!Print_Area</vt:lpstr>
      <vt:lpstr>'Full access'!Print_Area</vt:lpstr>
      <vt:lpstr>Instructions!Print_Area</vt:lpstr>
      <vt:lpstr>'Limited access'!Print_Area</vt:lpstr>
      <vt:lpstr>'SLSG Identification'!Print_Area</vt:lpstr>
      <vt:lpstr>Undeveloped!Print_Area</vt:lpstr>
    </vt:vector>
  </TitlesOfParts>
  <Company>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Pratt, Mike</dc:creator>
  <cp:lastModifiedBy>Mathews, Nancy</cp:lastModifiedBy>
  <cp:lastPrinted>2020-03-04T20:26:53Z</cp:lastPrinted>
  <dcterms:created xsi:type="dcterms:W3CDTF">2019-03-18T14:34:30Z</dcterms:created>
  <dcterms:modified xsi:type="dcterms:W3CDTF">2025-03-18T15:45:12Z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0x0101000553DFD53A8C8341B8D2DBA9DE88B5E9</vt:lpwstr>
  </property>
</Properties>
</file>