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1880" windowHeight="6495" activeTab="0"/>
  </bookViews>
  <sheets>
    <sheet name="Asphalt-Mix" sheetId="1" r:id="rId1"/>
    <sheet name="Mastercurve" sheetId="2" r:id="rId2"/>
    <sheet name="Binder data" sheetId="3" r:id="rId3"/>
    <sheet name="Bindercurve" sheetId="4" r:id="rId4"/>
  </sheets>
  <definedNames>
    <definedName name="solver_adj" localSheetId="0" hidden="1">'Asphalt-Mix'!$J$7:$N$7</definedName>
    <definedName name="solver_cvg" localSheetId="0" hidden="1">0.001</definedName>
    <definedName name="solver_drv" localSheetId="0" hidden="1">1</definedName>
    <definedName name="solver_est" localSheetId="0" hidden="1">2</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'Asphalt-Mix'!$I$5</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s>
  <calcPr fullCalcOnLoad="1"/>
</workbook>
</file>

<file path=xl/comments1.xml><?xml version="1.0" encoding="utf-8"?>
<comments xmlns="http://schemas.openxmlformats.org/spreadsheetml/2006/main">
  <authors>
    <author>SimeJM</author>
  </authors>
  <commentList>
    <comment ref="B1" authorId="0">
      <text>
        <r>
          <rPr>
            <b/>
            <sz val="8"/>
            <rFont val="Tahoma"/>
            <family val="0"/>
          </rPr>
          <t>SimeJM:</t>
        </r>
        <r>
          <rPr>
            <sz val="8"/>
            <rFont val="Tahoma"/>
            <family val="0"/>
          </rPr>
          <t xml:space="preserve">
-------- Original Message --------
Subject: Dynamic Modulus Excel sheet
Date: Wed, 22 Jan 2003 18:07:10 -0700
From: Mohamed El-Basyouny &lt;mohmo@asu.edu&gt;
To: cdougan@engr.uconn.edu
Charlie
Attached is the excel sheet that solve for the master curve level 1. The green cell (in both mix data and binder data sheets) are the cells you need to input. Then you use the Excel Solver in the mix data sheet to minimize the sum of error^2. Do this at least twice. And you have your master curve for level one analysis.
If you need any help, please, give me a call or email me.
Best Regards,
Mohamed El-Basyouny
Graduate Research Assistant
Department of Civil and Environmental Engineering
Arizona State University
Tempe, Az 85287
(480)727-6942
</t>
        </r>
      </text>
    </comment>
  </commentList>
</comments>
</file>

<file path=xl/sharedStrings.xml><?xml version="1.0" encoding="utf-8"?>
<sst xmlns="http://schemas.openxmlformats.org/spreadsheetml/2006/main" count="32" uniqueCount="31">
  <si>
    <t>delta</t>
  </si>
  <si>
    <t>alpha</t>
  </si>
  <si>
    <t>gamma</t>
  </si>
  <si>
    <t>C</t>
  </si>
  <si>
    <t>beta</t>
  </si>
  <si>
    <t>d</t>
  </si>
  <si>
    <t>reduced</t>
  </si>
  <si>
    <t>log E</t>
  </si>
  <si>
    <t>Temp. °F</t>
  </si>
  <si>
    <t>Temperature (F)</t>
  </si>
  <si>
    <t>G* (psi)</t>
  </si>
  <si>
    <t>VTS =</t>
  </si>
  <si>
    <t>A =</t>
  </si>
  <si>
    <t>Viscosity (cpoise)</t>
  </si>
  <si>
    <t>Error^2</t>
  </si>
  <si>
    <t xml:space="preserve">Sum of Error^2 = </t>
  </si>
  <si>
    <t>Equation Coefficients</t>
  </si>
  <si>
    <t>Reference Temperature F =</t>
  </si>
  <si>
    <t>Reference Viscosity</t>
  </si>
  <si>
    <t>Frequency Hz</t>
  </si>
  <si>
    <t>E* psi</t>
  </si>
  <si>
    <t>Reduced T</t>
  </si>
  <si>
    <r>
      <t>Log E</t>
    </r>
    <r>
      <rPr>
        <b/>
        <vertAlign val="subscript"/>
        <sz val="10"/>
        <rFont val="Arial"/>
        <family val="2"/>
      </rPr>
      <t>Measured</t>
    </r>
  </si>
  <si>
    <r>
      <t>Log E</t>
    </r>
    <r>
      <rPr>
        <b/>
        <vertAlign val="subscript"/>
        <sz val="10"/>
        <rFont val="Arial"/>
        <family val="2"/>
      </rPr>
      <t>Predicted</t>
    </r>
  </si>
  <si>
    <t>Epredicted (psi)</t>
  </si>
  <si>
    <t>Log Temperature (Rankine)</t>
  </si>
  <si>
    <t>Temperature (Rankine))</t>
  </si>
  <si>
    <t>Log log Viscosity (cpoise)</t>
  </si>
  <si>
    <t>Excel sheet that solves for the Master Curve Level 1</t>
  </si>
  <si>
    <t>Instructions:  The green cells (in both 'Asphalt-Mix' data and 'Binder data' worksheets) are the cells you need to input. Then you use the Excel Solver in the 'Asphalt-Mix' data sheet to minimize the "Sum of Error^2" (cell I5). Do this at least twice. And you have your master curve for level one analysis.</t>
  </si>
  <si>
    <t>Instructions:  The green cells (in both 'Asphalt-Mix' data and 'Binder data' worksheets) are the cells you need to input. Then you use the Excel Solver in the 'Asphalt-Mix' data worksheet to minimize the "Sum of Error^2" (cell I5). Do this at least twice. And you have your master curve for level one analysis.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</si>
</sst>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E+00"/>
    <numFmt numFmtId="165" formatCode="0.000"/>
    <numFmt numFmtId="166" formatCode="0.E+00"/>
    <numFmt numFmtId="167" formatCode="0.0000"/>
    <numFmt numFmtId="168" formatCode="0.0"/>
  </numFmts>
  <fonts count="11">
    <font>
      <sz val="10"/>
      <name val="Arial"/>
      <family val="0"/>
    </font>
    <font>
      <b/>
      <sz val="10"/>
      <name val="Symbol"/>
      <family val="1"/>
    </font>
    <font>
      <b/>
      <vertAlign val="subscript"/>
      <sz val="10"/>
      <name val="Arial"/>
      <family val="2"/>
    </font>
    <font>
      <sz val="12"/>
      <name val="Arial"/>
      <family val="2"/>
    </font>
    <font>
      <b/>
      <sz val="10"/>
      <name val="Arial"/>
      <family val="2"/>
    </font>
    <font>
      <b/>
      <sz val="12"/>
      <name val="Arial"/>
      <family val="2"/>
    </font>
    <font>
      <sz val="10"/>
      <color indexed="12"/>
      <name val="Arial"/>
      <family val="2"/>
    </font>
    <font>
      <vertAlign val="superscript"/>
      <sz val="10"/>
      <name val="Arial"/>
      <family val="0"/>
    </font>
    <font>
      <sz val="8"/>
      <name val="Tahoma"/>
      <family val="0"/>
    </font>
    <font>
      <b/>
      <sz val="8"/>
      <name val="Tahoma"/>
      <family val="0"/>
    </font>
    <font>
      <b/>
      <sz val="8"/>
      <name val="Arial"/>
      <family val="2"/>
    </font>
  </fonts>
  <fills count="5">
    <fill>
      <patternFill/>
    </fill>
    <fill>
      <patternFill patternType="gray125"/>
    </fill>
    <fill>
      <patternFill patternType="solid">
        <fgColor indexed="47"/>
        <bgColor indexed="64"/>
      </patternFill>
    </fill>
    <fill>
      <patternFill patternType="solid">
        <fgColor indexed="11"/>
        <bgColor indexed="64"/>
      </patternFill>
    </fill>
    <fill>
      <patternFill patternType="solid">
        <fgColor indexed="10"/>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0" fontId="0" fillId="0" borderId="0" xfId="0" applyNumberFormat="1" applyAlignment="1">
      <alignment horizontal="center"/>
    </xf>
    <xf numFmtId="0" fontId="4" fillId="2" borderId="1" xfId="0" applyFont="1" applyFill="1" applyBorder="1" applyAlignment="1">
      <alignment horizontal="center"/>
    </xf>
    <xf numFmtId="165" fontId="4" fillId="2" borderId="1"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center"/>
    </xf>
    <xf numFmtId="11" fontId="0" fillId="0" borderId="0" xfId="0" applyNumberFormat="1" applyBorder="1" applyAlignment="1">
      <alignment horizontal="center"/>
    </xf>
    <xf numFmtId="164" fontId="0" fillId="0" borderId="0" xfId="0" applyNumberFormat="1" applyAlignment="1">
      <alignment/>
    </xf>
    <xf numFmtId="0" fontId="6" fillId="0" borderId="0" xfId="0" applyFont="1" applyBorder="1" applyAlignment="1">
      <alignment horizontal="center"/>
    </xf>
    <xf numFmtId="0" fontId="0" fillId="2" borderId="2" xfId="0" applyNumberFormat="1" applyFill="1" applyBorder="1" applyAlignment="1">
      <alignment horizontal="center"/>
    </xf>
    <xf numFmtId="164" fontId="0" fillId="0" borderId="1" xfId="0" applyNumberFormat="1" applyBorder="1" applyAlignment="1">
      <alignment horizontal="center"/>
    </xf>
    <xf numFmtId="0" fontId="0" fillId="3" borderId="1" xfId="0" applyFill="1" applyBorder="1" applyAlignment="1">
      <alignment horizontal="center"/>
    </xf>
    <xf numFmtId="0" fontId="0" fillId="3" borderId="1" xfId="0" applyFont="1" applyFill="1" applyBorder="1" applyAlignment="1">
      <alignment horizontal="center"/>
    </xf>
    <xf numFmtId="0" fontId="0" fillId="3" borderId="1" xfId="0" applyFont="1" applyFill="1" applyBorder="1" applyAlignment="1">
      <alignment horizontal="center" wrapText="1"/>
    </xf>
    <xf numFmtId="164" fontId="0" fillId="0" borderId="1" xfId="0" applyNumberFormat="1" applyFont="1" applyBorder="1" applyAlignment="1">
      <alignment horizontal="center"/>
    </xf>
    <xf numFmtId="164" fontId="0" fillId="0" borderId="1" xfId="0" applyNumberFormat="1" applyFont="1" applyFill="1" applyBorder="1" applyAlignment="1">
      <alignment horizontal="center"/>
    </xf>
    <xf numFmtId="167" fontId="0" fillId="0" borderId="0" xfId="0" applyNumberFormat="1" applyAlignment="1">
      <alignment horizontal="center"/>
    </xf>
    <xf numFmtId="167" fontId="4" fillId="2" borderId="1" xfId="0" applyNumberFormat="1" applyFont="1" applyFill="1" applyBorder="1" applyAlignment="1">
      <alignment horizontal="center"/>
    </xf>
    <xf numFmtId="167" fontId="0" fillId="0" borderId="1" xfId="0" applyNumberFormat="1" applyFont="1" applyBorder="1" applyAlignment="1">
      <alignment horizontal="center"/>
    </xf>
    <xf numFmtId="167" fontId="0" fillId="0" borderId="0" xfId="0" applyNumberFormat="1" applyAlignment="1">
      <alignment/>
    </xf>
    <xf numFmtId="164" fontId="4" fillId="2" borderId="1" xfId="0" applyNumberFormat="1" applyFont="1" applyFill="1" applyBorder="1" applyAlignment="1">
      <alignment horizontal="center"/>
    </xf>
    <xf numFmtId="11" fontId="0" fillId="0" borderId="1" xfId="0" applyNumberFormat="1" applyFont="1" applyBorder="1" applyAlignment="1">
      <alignment horizontal="center"/>
    </xf>
    <xf numFmtId="0" fontId="1" fillId="2" borderId="1" xfId="0" applyFont="1" applyFill="1" applyBorder="1" applyAlignment="1">
      <alignment horizontal="center"/>
    </xf>
    <xf numFmtId="0" fontId="0" fillId="2" borderId="1" xfId="0" applyFill="1" applyBorder="1" applyAlignment="1">
      <alignment horizontal="right"/>
    </xf>
    <xf numFmtId="167" fontId="0" fillId="4" borderId="1" xfId="0" applyNumberFormat="1" applyFill="1" applyBorder="1" applyAlignment="1">
      <alignment horizontal="center"/>
    </xf>
    <xf numFmtId="167" fontId="0" fillId="2" borderId="1" xfId="0" applyNumberFormat="1" applyFill="1" applyBorder="1" applyAlignment="1">
      <alignment horizontal="center"/>
    </xf>
    <xf numFmtId="164" fontId="0" fillId="4" borderId="1" xfId="0" applyNumberFormat="1" applyFill="1" applyBorder="1" applyAlignment="1">
      <alignment horizontal="center"/>
    </xf>
    <xf numFmtId="0" fontId="0" fillId="0" borderId="2" xfId="0" applyNumberFormat="1" applyFill="1" applyBorder="1" applyAlignment="1">
      <alignment horizontal="center"/>
    </xf>
    <xf numFmtId="0" fontId="0" fillId="0" borderId="0" xfId="0" applyFill="1" applyAlignment="1">
      <alignment horizontal="center"/>
    </xf>
    <xf numFmtId="1" fontId="0" fillId="0" borderId="1" xfId="0" applyNumberFormat="1" applyFont="1" applyBorder="1" applyAlignment="1">
      <alignment horizontal="center"/>
    </xf>
    <xf numFmtId="168" fontId="0" fillId="0" borderId="1" xfId="0" applyNumberFormat="1" applyFont="1" applyBorder="1" applyAlignment="1">
      <alignment horizontal="center"/>
    </xf>
    <xf numFmtId="0" fontId="0" fillId="2" borderId="1" xfId="0" applyNumberFormat="1" applyFill="1" applyBorder="1" applyAlignment="1">
      <alignment horizontal="center"/>
    </xf>
    <xf numFmtId="0" fontId="0" fillId="2" borderId="1" xfId="0" applyFill="1" applyBorder="1" applyAlignment="1">
      <alignment horizontal="center" wrapText="1"/>
    </xf>
    <xf numFmtId="0" fontId="0" fillId="0" borderId="0" xfId="0" applyAlignment="1">
      <alignment horizontal="left" vertical="center" wrapText="1" indent="2"/>
    </xf>
    <xf numFmtId="0" fontId="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Dynamic Asphalt Modulus - Master Curve</a:t>
            </a:r>
          </a:p>
        </c:rich>
      </c:tx>
      <c:layout/>
      <c:spPr>
        <a:noFill/>
        <a:ln>
          <a:noFill/>
        </a:ln>
      </c:spPr>
    </c:title>
    <c:plotArea>
      <c:layout/>
      <c:scatterChart>
        <c:scatterStyle val="lineMarker"/>
        <c:varyColors val="0"/>
        <c:ser>
          <c:idx val="0"/>
          <c:order val="0"/>
          <c:tx>
            <c:v>Measured 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'Asphalt-Mix'!$E$7:$E$103</c:f>
              <c:numCache>
                <c:ptCount val="97"/>
                <c:pt idx="0">
                  <c:v>-3.9597755550897604</c:v>
                </c:pt>
                <c:pt idx="1">
                  <c:v>-4.658745559425779</c:v>
                </c:pt>
                <c:pt idx="2">
                  <c:v>-4.95977555508976</c:v>
                </c:pt>
                <c:pt idx="3">
                  <c:v>-5.658745559425779</c:v>
                </c:pt>
                <c:pt idx="4">
                  <c:v>-5.95977555508976</c:v>
                </c:pt>
                <c:pt idx="5">
                  <c:v>-6.357715563761798</c:v>
                </c:pt>
                <c:pt idx="6">
                  <c:v>-1.894650743226899</c:v>
                </c:pt>
                <c:pt idx="7">
                  <c:v>-2.593620747562918</c:v>
                </c:pt>
                <c:pt idx="8">
                  <c:v>-2.894650743226899</c:v>
                </c:pt>
                <c:pt idx="9">
                  <c:v>-3.593620747562918</c:v>
                </c:pt>
                <c:pt idx="10">
                  <c:v>-3.894650743226899</c:v>
                </c:pt>
                <c:pt idx="11">
                  <c:v>-4.292590751898937</c:v>
                </c:pt>
                <c:pt idx="12">
                  <c:v>1</c:v>
                </c:pt>
                <c:pt idx="13">
                  <c:v>0.3010299956639812</c:v>
                </c:pt>
                <c:pt idx="14">
                  <c:v>0</c:v>
                </c:pt>
                <c:pt idx="15">
                  <c:v>-0.6989700043360187</c:v>
                </c:pt>
                <c:pt idx="16">
                  <c:v>-1</c:v>
                </c:pt>
                <c:pt idx="17">
                  <c:v>-1.3979400086720375</c:v>
                </c:pt>
                <c:pt idx="18">
                  <c:v>3.234700158582666</c:v>
                </c:pt>
                <c:pt idx="19">
                  <c:v>2.535730154246647</c:v>
                </c:pt>
                <c:pt idx="20">
                  <c:v>2.234700158582666</c:v>
                </c:pt>
                <c:pt idx="21">
                  <c:v>1.535730154246647</c:v>
                </c:pt>
                <c:pt idx="22">
                  <c:v>1.2347001585826658</c:v>
                </c:pt>
                <c:pt idx="23">
                  <c:v>0.8367601499106283</c:v>
                </c:pt>
                <c:pt idx="24">
                  <c:v>4.984084612014703</c:v>
                </c:pt>
                <c:pt idx="25">
                  <c:v>4.285114607678684</c:v>
                </c:pt>
                <c:pt idx="26">
                  <c:v>3.9840846120147035</c:v>
                </c:pt>
                <c:pt idx="27">
                  <c:v>3.285114607678685</c:v>
                </c:pt>
                <c:pt idx="28">
                  <c:v>2.9840846120147035</c:v>
                </c:pt>
                <c:pt idx="29">
                  <c:v>2.586144603342666</c:v>
                </c:pt>
              </c:numCache>
            </c:numRef>
          </c:xVal>
          <c:yVal>
            <c:numRef>
              <c:f>'Asphalt-Mix'!$C$7:$C$103</c:f>
              <c:numCache>
                <c:ptCount val="97"/>
                <c:pt idx="0">
                  <c:v>2540000</c:v>
                </c:pt>
                <c:pt idx="1">
                  <c:v>2810000</c:v>
                </c:pt>
                <c:pt idx="2">
                  <c:v>2890000</c:v>
                </c:pt>
                <c:pt idx="3">
                  <c:v>3000000</c:v>
                </c:pt>
                <c:pt idx="4">
                  <c:v>3360000</c:v>
                </c:pt>
                <c:pt idx="5">
                  <c:v>3780000</c:v>
                </c:pt>
                <c:pt idx="6">
                  <c:v>1250000</c:v>
                </c:pt>
                <c:pt idx="7">
                  <c:v>1620000</c:v>
                </c:pt>
                <c:pt idx="8">
                  <c:v>1810000</c:v>
                </c:pt>
                <c:pt idx="9">
                  <c:v>2210000</c:v>
                </c:pt>
                <c:pt idx="10">
                  <c:v>2320000</c:v>
                </c:pt>
                <c:pt idx="11">
                  <c:v>2520000</c:v>
                </c:pt>
                <c:pt idx="12">
                  <c:v>317000</c:v>
                </c:pt>
                <c:pt idx="13">
                  <c:v>487000</c:v>
                </c:pt>
                <c:pt idx="14">
                  <c:v>569000</c:v>
                </c:pt>
                <c:pt idx="15">
                  <c:v>821000</c:v>
                </c:pt>
                <c:pt idx="16">
                  <c:v>933000</c:v>
                </c:pt>
                <c:pt idx="17">
                  <c:v>1140000</c:v>
                </c:pt>
                <c:pt idx="18">
                  <c:v>63900</c:v>
                </c:pt>
                <c:pt idx="19">
                  <c:v>110000</c:v>
                </c:pt>
                <c:pt idx="20">
                  <c:v>143000</c:v>
                </c:pt>
                <c:pt idx="21">
                  <c:v>252000</c:v>
                </c:pt>
                <c:pt idx="22">
                  <c:v>329000</c:v>
                </c:pt>
                <c:pt idx="23">
                  <c:v>455000</c:v>
                </c:pt>
                <c:pt idx="24">
                  <c:v>16300</c:v>
                </c:pt>
                <c:pt idx="25">
                  <c:v>23500</c:v>
                </c:pt>
                <c:pt idx="26">
                  <c:v>30300</c:v>
                </c:pt>
                <c:pt idx="27">
                  <c:v>51700</c:v>
                </c:pt>
                <c:pt idx="28">
                  <c:v>67400</c:v>
                </c:pt>
                <c:pt idx="29">
                  <c:v>96800</c:v>
                </c:pt>
              </c:numCache>
            </c:numRef>
          </c:yVal>
          <c:smooth val="0"/>
        </c:ser>
        <c:ser>
          <c:idx val="1"/>
          <c:order val="1"/>
          <c:tx>
            <c:v>Predicted 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'Asphalt-Mix'!$Q$7:$Q$24</c:f>
              <c:numCache>
                <c:ptCount val="18"/>
                <c:pt idx="0">
                  <c:v>-10</c:v>
                </c:pt>
                <c:pt idx="1">
                  <c:v>-9</c:v>
                </c:pt>
                <c:pt idx="2">
                  <c:v>-8</c:v>
                </c:pt>
                <c:pt idx="3">
                  <c:v>-7</c:v>
                </c:pt>
                <c:pt idx="4">
                  <c:v>-6</c:v>
                </c:pt>
                <c:pt idx="5">
                  <c:v>-4</c:v>
                </c:pt>
                <c:pt idx="6">
                  <c:v>-3</c:v>
                </c:pt>
                <c:pt idx="7">
                  <c:v>-2</c:v>
                </c:pt>
                <c:pt idx="8">
                  <c:v>-1</c:v>
                </c:pt>
                <c:pt idx="9">
                  <c:v>0</c:v>
                </c:pt>
                <c:pt idx="10">
                  <c:v>2</c:v>
                </c:pt>
                <c:pt idx="11">
                  <c:v>3</c:v>
                </c:pt>
                <c:pt idx="12">
                  <c:v>4</c:v>
                </c:pt>
                <c:pt idx="13">
                  <c:v>5</c:v>
                </c:pt>
                <c:pt idx="14">
                  <c:v>6</c:v>
                </c:pt>
                <c:pt idx="15">
                  <c:v>8</c:v>
                </c:pt>
                <c:pt idx="16">
                  <c:v>9</c:v>
                </c:pt>
                <c:pt idx="17">
                  <c:v>10</c:v>
                </c:pt>
              </c:numCache>
            </c:numRef>
          </c:xVal>
          <c:yVal>
            <c:numRef>
              <c:f>'Asphalt-Mix'!$R$7:$R$24</c:f>
              <c:numCache>
                <c:ptCount val="18"/>
                <c:pt idx="0">
                  <c:v>4197545.415621929</c:v>
                </c:pt>
                <c:pt idx="1">
                  <c:v>4050273.3911714703</c:v>
                </c:pt>
                <c:pt idx="2">
                  <c:v>3855258.807396454</c:v>
                </c:pt>
                <c:pt idx="3">
                  <c:v>3601970.1956863743</c:v>
                </c:pt>
                <c:pt idx="4">
                  <c:v>3281539.514590235</c:v>
                </c:pt>
                <c:pt idx="5">
                  <c:v>2434699.9934305437</c:v>
                </c:pt>
                <c:pt idx="6">
                  <c:v>1936020.3604209672</c:v>
                </c:pt>
                <c:pt idx="7">
                  <c:v>1431889.8780804898</c:v>
                </c:pt>
                <c:pt idx="8">
                  <c:v>970222.9888563026</c:v>
                </c:pt>
                <c:pt idx="9">
                  <c:v>594602.845847226</c:v>
                </c:pt>
                <c:pt idx="10">
                  <c:v>162700.9109435209</c:v>
                </c:pt>
                <c:pt idx="11">
                  <c:v>74318.31048408696</c:v>
                </c:pt>
                <c:pt idx="12">
                  <c:v>32257.269804948726</c:v>
                </c:pt>
                <c:pt idx="13">
                  <c:v>13891.351906455215</c:v>
                </c:pt>
                <c:pt idx="14">
                  <c:v>6207.461457881311</c:v>
                </c:pt>
                <c:pt idx="15">
                  <c:v>1586.3371416975506</c:v>
                </c:pt>
                <c:pt idx="16">
                  <c:v>937.3247942963029</c:v>
                </c:pt>
                <c:pt idx="17">
                  <c:v>614.2985380094691</c:v>
                </c:pt>
              </c:numCache>
            </c:numRef>
          </c:yVal>
          <c:smooth val="1"/>
        </c:ser>
        <c:axId val="59779937"/>
        <c:axId val="1148522"/>
      </c:scatterChart>
      <c:valAx>
        <c:axId val="59779937"/>
        <c:scaling>
          <c:orientation val="minMax"/>
          <c:max val="10"/>
          <c:min val="-10"/>
        </c:scaling>
        <c:axPos val="b"/>
        <c:title>
          <c:tx>
            <c:rich>
              <a:bodyPr vert="horz" rot="0" anchor="ctr"/>
              <a:lstStyle/>
              <a:p>
                <a:pPr algn="ctr">
                  <a:defRPr/>
                </a:pPr>
                <a:r>
                  <a:rPr lang="en-US" cap="none" sz="1200" b="1" i="0" u="none" baseline="0">
                    <a:latin typeface="Arial"/>
                    <a:ea typeface="Arial"/>
                    <a:cs typeface="Arial"/>
                  </a:rPr>
                  <a:t>Log Reduced Time</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1148522"/>
        <c:crosses val="autoZero"/>
        <c:crossBetween val="midCat"/>
        <c:dispUnits/>
      </c:valAx>
      <c:valAx>
        <c:axId val="1148522"/>
        <c:scaling>
          <c:logBase val="10"/>
          <c:orientation val="minMax"/>
        </c:scaling>
        <c:axPos val="l"/>
        <c:title>
          <c:tx>
            <c:rich>
              <a:bodyPr vert="horz" rot="-5400000" anchor="ctr"/>
              <a:lstStyle/>
              <a:p>
                <a:pPr algn="ctr">
                  <a:defRPr/>
                </a:pPr>
                <a:r>
                  <a:rPr lang="en-US" cap="none" sz="1200" b="1" i="0" u="none" baseline="0">
                    <a:latin typeface="Arial"/>
                    <a:ea typeface="Arial"/>
                    <a:cs typeface="Arial"/>
                  </a:rPr>
                  <a:t>Dynamic modulus (psi)</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59779937"/>
        <c:crossesAt val="-10"/>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Viscosity-Temperature Relationship</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'Binder data'!$F$9:$F$18</c:f>
              <c:numCache>
                <c:ptCount val="10"/>
                <c:pt idx="0">
                  <c:v>2.714916247993585</c:v>
                </c:pt>
                <c:pt idx="1">
                  <c:v>2.7297315952870354</c:v>
                </c:pt>
                <c:pt idx="2">
                  <c:v>2.7440581658788354</c:v>
                </c:pt>
                <c:pt idx="3">
                  <c:v>2.7579271831133294</c:v>
                </c:pt>
                <c:pt idx="4">
                  <c:v>2.7779340488377793</c:v>
                </c:pt>
                <c:pt idx="5">
                  <c:v>2.7907776013376937</c:v>
                </c:pt>
                <c:pt idx="6">
                  <c:v>2.803252211430457</c:v>
                </c:pt>
                <c:pt idx="7">
                  <c:v>2.821316970591097</c:v>
                </c:pt>
                <c:pt idx="8">
                  <c:v>2.8329557506045986</c:v>
                </c:pt>
                <c:pt idx="9">
                  <c:v>2.844290743254343</c:v>
                </c:pt>
              </c:numCache>
            </c:numRef>
          </c:xVal>
          <c:yVal>
            <c:numRef>
              <c:f>'Binder data'!$G$9:$G$18</c:f>
              <c:numCache>
                <c:ptCount val="10"/>
                <c:pt idx="0">
                  <c:v>0.9780728574705659</c:v>
                </c:pt>
                <c:pt idx="1">
                  <c:v>0.931185754004314</c:v>
                </c:pt>
                <c:pt idx="2">
                  <c:v>0.883218220740111</c:v>
                </c:pt>
                <c:pt idx="3">
                  <c:v>0.8302065538564616</c:v>
                </c:pt>
                <c:pt idx="4">
                  <c:v>0.7568007480478606</c:v>
                </c:pt>
                <c:pt idx="5">
                  <c:v>0.7120703203563722</c:v>
                </c:pt>
                <c:pt idx="6">
                  <c:v>0.6660770025093409</c:v>
                </c:pt>
                <c:pt idx="7">
                  <c:v>0.6011173044688884</c:v>
                </c:pt>
                <c:pt idx="8">
                  <c:v>0.5615235005019462</c:v>
                </c:pt>
                <c:pt idx="9">
                  <c:v>0.5240680567686327</c:v>
                </c:pt>
              </c:numCache>
            </c:numRef>
          </c:yVal>
          <c:smooth val="0"/>
        </c:ser>
        <c:axId val="10336699"/>
        <c:axId val="25921428"/>
      </c:scatterChart>
      <c:valAx>
        <c:axId val="10336699"/>
        <c:scaling>
          <c:orientation val="minMax"/>
        </c:scaling>
        <c:axPos val="b"/>
        <c:title>
          <c:tx>
            <c:rich>
              <a:bodyPr vert="horz" rot="0" anchor="ctr"/>
              <a:lstStyle/>
              <a:p>
                <a:pPr algn="ctr">
                  <a:defRPr/>
                </a:pPr>
                <a:r>
                  <a:rPr lang="en-US" cap="none" sz="1000" b="1" i="0" u="none" baseline="0">
                    <a:latin typeface="Arial"/>
                    <a:ea typeface="Arial"/>
                    <a:cs typeface="Arial"/>
                  </a:rPr>
                  <a:t>Log Temperature (Rankine)</a:t>
                </a:r>
              </a:p>
            </c:rich>
          </c:tx>
          <c:layout/>
          <c:overlay val="0"/>
          <c:spPr>
            <a:noFill/>
            <a:ln>
              <a:noFill/>
            </a:ln>
          </c:spPr>
        </c:title>
        <c:delete val="0"/>
        <c:numFmt formatCode="General" sourceLinked="0"/>
        <c:majorTickMark val="out"/>
        <c:minorTickMark val="none"/>
        <c:tickLblPos val="nextTo"/>
        <c:crossAx val="25921428"/>
        <c:crosses val="autoZero"/>
        <c:crossBetween val="midCat"/>
        <c:dispUnits/>
      </c:valAx>
      <c:valAx>
        <c:axId val="25921428"/>
        <c:scaling>
          <c:orientation val="minMax"/>
        </c:scaling>
        <c:axPos val="l"/>
        <c:title>
          <c:tx>
            <c:rich>
              <a:bodyPr vert="horz" rot="-5400000" anchor="ctr"/>
              <a:lstStyle/>
              <a:p>
                <a:pPr algn="ctr">
                  <a:defRPr/>
                </a:pPr>
                <a:r>
                  <a:rPr lang="en-US" cap="none" sz="1000" b="1" i="0" u="none" baseline="0">
                    <a:latin typeface="Arial"/>
                    <a:ea typeface="Arial"/>
                    <a:cs typeface="Arial"/>
                  </a:rPr>
                  <a:t>Log Log Viscosity (cpoise)</a:t>
                </a:r>
              </a:p>
            </c:rich>
          </c:tx>
          <c:layout/>
          <c:overlay val="0"/>
          <c:spPr>
            <a:noFill/>
            <a:ln>
              <a:noFill/>
            </a:ln>
          </c:spPr>
        </c:title>
        <c:majorGridlines/>
        <c:delete val="0"/>
        <c:numFmt formatCode="General" sourceLinked="0"/>
        <c:majorTickMark val="out"/>
        <c:minorTickMark val="none"/>
        <c:tickLblPos val="nextTo"/>
        <c:crossAx val="1033669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workbookViewId="0" topLeftCell="A1">
      <selection activeCell="B1" sqref="B1:F1"/>
    </sheetView>
  </sheetViews>
  <sheetFormatPr defaultColWidth="9.140625" defaultRowHeight="12.75"/>
  <cols>
    <col min="1" max="1" width="9.140625" style="1" customWidth="1"/>
    <col min="2" max="2" width="15.00390625" style="1" customWidth="1"/>
    <col min="3" max="3" width="8.00390625" style="1" bestFit="1" customWidth="1"/>
    <col min="4" max="4" width="18.421875" style="1" bestFit="1" customWidth="1"/>
    <col min="5" max="5" width="11.140625" style="18" bestFit="1" customWidth="1"/>
    <col min="6" max="7" width="16.7109375" style="18" customWidth="1"/>
    <col min="8" max="8" width="16.28125" style="18" customWidth="1"/>
    <col min="9" max="9" width="9.421875" style="2" bestFit="1" customWidth="1"/>
    <col min="10" max="11" width="12.00390625" style="1" bestFit="1" customWidth="1"/>
    <col min="12" max="12" width="12.57421875" style="1" bestFit="1" customWidth="1"/>
    <col min="13" max="14" width="12.00390625" style="1" bestFit="1" customWidth="1"/>
    <col min="15" max="15" width="17.421875" style="1" customWidth="1"/>
    <col min="16" max="16" width="12.421875" style="1" customWidth="1"/>
    <col min="17" max="17" width="12.421875" style="1" bestFit="1" customWidth="1"/>
  </cols>
  <sheetData>
    <row r="1" spans="2:6" ht="15.75">
      <c r="B1" s="36" t="s">
        <v>28</v>
      </c>
      <c r="C1" s="36"/>
      <c r="D1" s="36"/>
      <c r="E1" s="36"/>
      <c r="F1" s="36"/>
    </row>
    <row r="2" spans="1:8" ht="55.5" customHeight="1">
      <c r="A2" s="35" t="s">
        <v>29</v>
      </c>
      <c r="B2" s="35"/>
      <c r="C2" s="35"/>
      <c r="D2" s="35"/>
      <c r="E2" s="35"/>
      <c r="F2" s="35"/>
      <c r="G2" s="35"/>
      <c r="H2" s="35"/>
    </row>
    <row r="3" ht="12.75"/>
    <row r="4" spans="1:3" ht="12.75">
      <c r="A4" s="33" t="s">
        <v>17</v>
      </c>
      <c r="B4" s="33"/>
      <c r="C4" s="13">
        <v>70</v>
      </c>
    </row>
    <row r="5" spans="1:14" ht="12.75">
      <c r="A5" s="29"/>
      <c r="B5" s="29"/>
      <c r="C5" s="30"/>
      <c r="H5" s="27" t="s">
        <v>15</v>
      </c>
      <c r="I5" s="28">
        <f>SUM(I7:I1003)</f>
        <v>0.03732407718188746</v>
      </c>
      <c r="J5" s="34" t="s">
        <v>16</v>
      </c>
      <c r="K5" s="34"/>
      <c r="L5" s="34"/>
      <c r="M5" s="34"/>
      <c r="N5" s="34"/>
    </row>
    <row r="6" spans="1:18" ht="21" customHeight="1">
      <c r="A6" s="4" t="s">
        <v>8</v>
      </c>
      <c r="B6" s="4" t="s">
        <v>19</v>
      </c>
      <c r="C6" s="5" t="s">
        <v>20</v>
      </c>
      <c r="D6" s="4" t="s">
        <v>13</v>
      </c>
      <c r="E6" s="19" t="s">
        <v>21</v>
      </c>
      <c r="F6" s="19" t="s">
        <v>22</v>
      </c>
      <c r="G6" s="19" t="s">
        <v>24</v>
      </c>
      <c r="H6" s="19" t="s">
        <v>23</v>
      </c>
      <c r="I6" s="22" t="s">
        <v>14</v>
      </c>
      <c r="J6" s="4" t="s">
        <v>0</v>
      </c>
      <c r="K6" s="4" t="s">
        <v>1</v>
      </c>
      <c r="L6" s="4" t="s">
        <v>4</v>
      </c>
      <c r="M6" s="4" t="s">
        <v>2</v>
      </c>
      <c r="N6" s="4" t="s">
        <v>3</v>
      </c>
      <c r="O6" s="11" t="s">
        <v>18</v>
      </c>
      <c r="P6" s="29"/>
      <c r="Q6" s="1" t="s">
        <v>6</v>
      </c>
      <c r="R6" t="s">
        <v>7</v>
      </c>
    </row>
    <row r="7" spans="1:18" ht="12.75">
      <c r="A7" s="14">
        <v>10</v>
      </c>
      <c r="B7" s="15">
        <v>0.1</v>
      </c>
      <c r="C7" s="15">
        <v>2540000</v>
      </c>
      <c r="D7" s="16">
        <f>IF((POWER(10,POWER(10,('Binder data'!$B$6+('Binder data'!$B$5*LOG10(A7+459.7))))))&gt;2700000000000,2700000000000,(POWER(10,POWER(10,('Binder data'!$B$6+('Binder data'!$B$5*LOG10(A7+459.7)))))))</f>
        <v>2700000000000</v>
      </c>
      <c r="E7" s="20">
        <f aca="true" t="shared" si="0" ref="E7:E36">(LOG10(1/B7)-($N$7*(LOG10(D7)-LOG10($O$7))))</f>
        <v>-3.9597755550897604</v>
      </c>
      <c r="F7" s="20">
        <f aca="true" t="shared" si="1" ref="F7:F36">LOG10(C7)</f>
        <v>6.4048337166199385</v>
      </c>
      <c r="G7" s="31">
        <f>POWER(10,H7)</f>
        <v>2415271.9772163993</v>
      </c>
      <c r="H7" s="20">
        <f aca="true" t="shared" si="2" ref="H7:H36">$J$7+($K$7/(1+(EXP($L$7+($M$7*(LOG10(1/B7)-($N$7*(LOG10(D7)-LOG10($O$7)))))))))</f>
        <v>6.382966042563121</v>
      </c>
      <c r="I7" s="16">
        <f aca="true" t="shared" si="3" ref="I7:I36">(F7-H7)^2</f>
        <v>0.00047819516865522124</v>
      </c>
      <c r="J7" s="26">
        <v>2.2278081284913145</v>
      </c>
      <c r="K7" s="26">
        <v>4.435118965784741</v>
      </c>
      <c r="L7" s="26">
        <v>-1.3839337546340384</v>
      </c>
      <c r="M7" s="26">
        <v>0.33171614072162114</v>
      </c>
      <c r="N7" s="26">
        <v>1.4081839010351704</v>
      </c>
      <c r="O7" s="12">
        <f>IF((POWER(10,POWER(10,('Binder data'!$B$6+('Binder data'!$B$5*LOG10(C4+459.7))))))&gt;2700000000000,2700000000000,(POWER(10,POWER(10,('Binder data'!$B$6+('Binder data'!$B$5*LOG10(C4+459.7)))))))</f>
        <v>811439091.4801196</v>
      </c>
      <c r="P7" s="2"/>
      <c r="Q7" s="1">
        <v>-10</v>
      </c>
      <c r="R7" s="3">
        <f>POWER(10,$J$7+($K$7/(1+(EXP($L$7+($M$7*Q7))))))</f>
        <v>4197545.415621929</v>
      </c>
    </row>
    <row r="8" spans="1:18" ht="12.75">
      <c r="A8" s="14">
        <v>10</v>
      </c>
      <c r="B8" s="15">
        <v>0.5</v>
      </c>
      <c r="C8" s="15">
        <v>2810000</v>
      </c>
      <c r="D8" s="16">
        <f>IF((POWER(10,POWER(10,('Binder data'!$B$6+('Binder data'!$B$5*LOG10(A8+459.7))))))&gt;2700000000000,2700000000000,(POWER(10,POWER(10,('Binder data'!$B$6+('Binder data'!$B$5*LOG10(A8+459.7)))))))</f>
        <v>2700000000000</v>
      </c>
      <c r="E8" s="20">
        <f t="shared" si="0"/>
        <v>-4.658745559425779</v>
      </c>
      <c r="F8" s="20">
        <f t="shared" si="1"/>
        <v>6.44870631990508</v>
      </c>
      <c r="G8" s="31">
        <f aca="true" t="shared" si="4" ref="G8:G36">POWER(10,H8)</f>
        <v>2741341.889716519</v>
      </c>
      <c r="H8" s="20">
        <f t="shared" si="2"/>
        <v>6.437963202470522</v>
      </c>
      <c r="I8" s="16">
        <f t="shared" si="3"/>
        <v>0.00011541457221269983</v>
      </c>
      <c r="P8" s="2"/>
      <c r="Q8" s="1">
        <v>-9</v>
      </c>
      <c r="R8" s="3">
        <f>POWER(10,$J$7+($K$7/(1+(EXP($L$7+($M$7*Q8))))))</f>
        <v>4050273.3911714703</v>
      </c>
    </row>
    <row r="9" spans="1:18" ht="12.75">
      <c r="A9" s="14">
        <v>10</v>
      </c>
      <c r="B9" s="15">
        <v>1</v>
      </c>
      <c r="C9" s="15">
        <v>2890000</v>
      </c>
      <c r="D9" s="16">
        <f>IF((POWER(10,POWER(10,('Binder data'!$B$6+('Binder data'!$B$5*LOG10(A9+459.7))))))&gt;2700000000000,2700000000000,(POWER(10,POWER(10,('Binder data'!$B$6+('Binder data'!$B$5*LOG10(A9+459.7)))))))</f>
        <v>2700000000000</v>
      </c>
      <c r="E9" s="20">
        <f t="shared" si="0"/>
        <v>-4.95977555508976</v>
      </c>
      <c r="F9" s="20">
        <f t="shared" si="1"/>
        <v>6.460897842756548</v>
      </c>
      <c r="G9" s="31">
        <f t="shared" si="4"/>
        <v>2873134.9657131904</v>
      </c>
      <c r="H9" s="20">
        <f t="shared" si="2"/>
        <v>6.458356027484374</v>
      </c>
      <c r="I9" s="16">
        <f t="shared" si="3"/>
        <v>6.4608248778575925E-06</v>
      </c>
      <c r="P9" s="2"/>
      <c r="Q9" s="1">
        <v>-8</v>
      </c>
      <c r="R9" s="3">
        <f aca="true" t="shared" si="5" ref="R9:R24">POWER(10,$J$7+($K$7/(1+(EXP($L$7+($M$7*Q9))))))</f>
        <v>3855258.807396454</v>
      </c>
    </row>
    <row r="10" spans="1:18" ht="12.75">
      <c r="A10" s="14">
        <v>10</v>
      </c>
      <c r="B10" s="15">
        <v>5</v>
      </c>
      <c r="C10" s="15">
        <v>3000000</v>
      </c>
      <c r="D10" s="16">
        <f>IF((POWER(10,POWER(10,('Binder data'!$B$6+('Binder data'!$B$5*LOG10(A10+459.7))))))&gt;2700000000000,2700000000000,(POWER(10,POWER(10,('Binder data'!$B$6+('Binder data'!$B$5*LOG10(A10+459.7)))))))</f>
        <v>2700000000000</v>
      </c>
      <c r="E10" s="20">
        <f t="shared" si="0"/>
        <v>-5.658745559425779</v>
      </c>
      <c r="F10" s="20">
        <f t="shared" si="1"/>
        <v>6.477121254719663</v>
      </c>
      <c r="G10" s="31">
        <f t="shared" si="4"/>
        <v>3155927.155628426</v>
      </c>
      <c r="H10" s="20">
        <f t="shared" si="2"/>
        <v>6.499126970369538</v>
      </c>
      <c r="I10" s="16">
        <f t="shared" si="3"/>
        <v>0.0004842515212631717</v>
      </c>
      <c r="P10" s="2"/>
      <c r="Q10" s="1">
        <v>-7</v>
      </c>
      <c r="R10" s="3">
        <f t="shared" si="5"/>
        <v>3601970.1956863743</v>
      </c>
    </row>
    <row r="11" spans="1:18" ht="12.75">
      <c r="A11" s="14">
        <v>10</v>
      </c>
      <c r="B11" s="15">
        <v>10</v>
      </c>
      <c r="C11" s="15">
        <v>3360000</v>
      </c>
      <c r="D11" s="16">
        <f>IF((POWER(10,POWER(10,('Binder data'!$B$6+('Binder data'!$B$5*LOG10(A11+459.7))))))&gt;2700000000000,2700000000000,(POWER(10,POWER(10,('Binder data'!$B$6+('Binder data'!$B$5*LOG10(A11+459.7)))))))</f>
        <v>2700000000000</v>
      </c>
      <c r="E11" s="20">
        <f t="shared" si="0"/>
        <v>-5.95977555508976</v>
      </c>
      <c r="F11" s="20">
        <f t="shared" si="1"/>
        <v>6.526339277389844</v>
      </c>
      <c r="G11" s="31">
        <f t="shared" si="4"/>
        <v>3267166.303400536</v>
      </c>
      <c r="H11" s="20">
        <f t="shared" si="2"/>
        <v>6.514171241243412</v>
      </c>
      <c r="I11" s="16">
        <f t="shared" si="3"/>
        <v>0.00014806110366086554</v>
      </c>
      <c r="P11" s="2"/>
      <c r="Q11" s="1">
        <v>-6</v>
      </c>
      <c r="R11" s="3">
        <f t="shared" si="5"/>
        <v>3281539.514590235</v>
      </c>
    </row>
    <row r="12" spans="1:18" ht="12.75">
      <c r="A12" s="14">
        <v>10</v>
      </c>
      <c r="B12" s="15">
        <v>25</v>
      </c>
      <c r="C12" s="15">
        <v>3780000</v>
      </c>
      <c r="D12" s="16">
        <f>IF((POWER(10,POWER(10,('Binder data'!$B$6+('Binder data'!$B$5*LOG10(A12+459.7))))))&gt;2700000000000,2700000000000,(POWER(10,POWER(10,('Binder data'!$B$6+('Binder data'!$B$5*LOG10(A12+459.7)))))))</f>
        <v>2700000000000</v>
      </c>
      <c r="E12" s="20">
        <f t="shared" si="0"/>
        <v>-6.357715563761798</v>
      </c>
      <c r="F12" s="20">
        <f t="shared" si="1"/>
        <v>6.577491799837225</v>
      </c>
      <c r="G12" s="31">
        <f t="shared" si="4"/>
        <v>3404267.7081919243</v>
      </c>
      <c r="H12" s="20">
        <f t="shared" si="2"/>
        <v>6.532023705237151</v>
      </c>
      <c r="I12" s="16">
        <f t="shared" si="3"/>
        <v>0.002067347626561284</v>
      </c>
      <c r="P12" s="2"/>
      <c r="Q12" s="1">
        <v>-4</v>
      </c>
      <c r="R12" s="3">
        <f t="shared" si="5"/>
        <v>2434699.9934305437</v>
      </c>
    </row>
    <row r="13" spans="1:18" ht="12.75">
      <c r="A13" s="14">
        <v>40</v>
      </c>
      <c r="B13" s="15">
        <v>0.1</v>
      </c>
      <c r="C13" s="15">
        <v>1250000</v>
      </c>
      <c r="D13" s="16">
        <f>IF((POWER(10,POWER(10,('Binder data'!$B$6+('Binder data'!$B$5*LOG10(A13+459.7))))))&gt;2700000000000,2700000000000,(POWER(10,POWER(10,('Binder data'!$B$6+('Binder data'!$B$5*LOG10(A13+459.7)))))))</f>
        <v>92224719954.70793</v>
      </c>
      <c r="E13" s="20">
        <f t="shared" si="0"/>
        <v>-1.894650743226899</v>
      </c>
      <c r="F13" s="20">
        <f t="shared" si="1"/>
        <v>6.096910013008056</v>
      </c>
      <c r="G13" s="31">
        <f t="shared" si="4"/>
        <v>1380397.409317027</v>
      </c>
      <c r="H13" s="20">
        <f t="shared" si="2"/>
        <v>6.140004135551081</v>
      </c>
      <c r="I13" s="16">
        <f t="shared" si="3"/>
        <v>0.0018571033977532194</v>
      </c>
      <c r="P13" s="2"/>
      <c r="Q13" s="1">
        <v>-3</v>
      </c>
      <c r="R13" s="3">
        <f t="shared" si="5"/>
        <v>1936020.3604209672</v>
      </c>
    </row>
    <row r="14" spans="1:18" ht="12.75">
      <c r="A14" s="14">
        <v>40</v>
      </c>
      <c r="B14" s="15">
        <v>0.5</v>
      </c>
      <c r="C14" s="15">
        <v>1620000</v>
      </c>
      <c r="D14" s="16">
        <f>IF((POWER(10,POWER(10,('Binder data'!$B$6+('Binder data'!$B$5*LOG10(A14+459.7))))))&gt;2700000000000,2700000000000,(POWER(10,POWER(10,('Binder data'!$B$6+('Binder data'!$B$5*LOG10(A14+459.7)))))))</f>
        <v>92224719954.70793</v>
      </c>
      <c r="E14" s="20">
        <f t="shared" si="0"/>
        <v>-2.593620747562918</v>
      </c>
      <c r="F14" s="20">
        <f t="shared" si="1"/>
        <v>6.209515014542631</v>
      </c>
      <c r="G14" s="31">
        <f t="shared" si="4"/>
        <v>1729208.6115724184</v>
      </c>
      <c r="H14" s="20">
        <f t="shared" si="2"/>
        <v>6.237847389682033</v>
      </c>
      <c r="I14" s="16">
        <f t="shared" si="3"/>
        <v>0.0008027234810398051</v>
      </c>
      <c r="P14" s="2"/>
      <c r="Q14" s="1">
        <v>-2</v>
      </c>
      <c r="R14" s="3">
        <f t="shared" si="5"/>
        <v>1431889.8780804898</v>
      </c>
    </row>
    <row r="15" spans="1:18" ht="12.75">
      <c r="A15" s="14">
        <v>40</v>
      </c>
      <c r="B15" s="15">
        <v>1</v>
      </c>
      <c r="C15" s="15">
        <v>1810000</v>
      </c>
      <c r="D15" s="16">
        <f>IF((POWER(10,POWER(10,('Binder data'!$B$6+('Binder data'!$B$5*LOG10(A15+459.7))))))&gt;2700000000000,2700000000000,(POWER(10,POWER(10,('Binder data'!$B$6+('Binder data'!$B$5*LOG10(A15+459.7)))))))</f>
        <v>92224719954.70793</v>
      </c>
      <c r="E15" s="20">
        <f t="shared" si="0"/>
        <v>-2.894650743226899</v>
      </c>
      <c r="F15" s="20">
        <f t="shared" si="1"/>
        <v>6.2576785748691846</v>
      </c>
      <c r="G15" s="31">
        <f t="shared" si="4"/>
        <v>1882382.391201204</v>
      </c>
      <c r="H15" s="20">
        <f t="shared" si="2"/>
        <v>6.274707851567072</v>
      </c>
      <c r="I15" s="16">
        <f t="shared" si="3"/>
        <v>0.00028999626485322013</v>
      </c>
      <c r="P15" s="2"/>
      <c r="Q15" s="1">
        <v>-1</v>
      </c>
      <c r="R15" s="3">
        <f t="shared" si="5"/>
        <v>970222.9888563026</v>
      </c>
    </row>
    <row r="16" spans="1:18" ht="12.75">
      <c r="A16" s="14">
        <v>40</v>
      </c>
      <c r="B16" s="15">
        <v>5</v>
      </c>
      <c r="C16" s="15">
        <v>2210000</v>
      </c>
      <c r="D16" s="16">
        <f>IF((POWER(10,POWER(10,('Binder data'!$B$6+('Binder data'!$B$5*LOG10(A16+459.7))))))&gt;2700000000000,2700000000000,(POWER(10,POWER(10,('Binder data'!$B$6+('Binder data'!$B$5*LOG10(A16+459.7)))))))</f>
        <v>92224719954.70793</v>
      </c>
      <c r="E16" s="20">
        <f t="shared" si="0"/>
        <v>-3.593620747562918</v>
      </c>
      <c r="F16" s="20">
        <f t="shared" si="1"/>
        <v>6.344392273685111</v>
      </c>
      <c r="G16" s="31">
        <f t="shared" si="4"/>
        <v>2235460.576770254</v>
      </c>
      <c r="H16" s="20">
        <f t="shared" si="2"/>
        <v>6.349367015316952</v>
      </c>
      <c r="I16" s="16">
        <f t="shared" si="3"/>
        <v>2.4748054303572893E-05</v>
      </c>
      <c r="P16" s="2"/>
      <c r="Q16" s="1">
        <v>0</v>
      </c>
      <c r="R16" s="3">
        <f t="shared" si="5"/>
        <v>594602.845847226</v>
      </c>
    </row>
    <row r="17" spans="1:18" ht="12.75">
      <c r="A17" s="14">
        <v>40</v>
      </c>
      <c r="B17" s="15">
        <v>10</v>
      </c>
      <c r="C17" s="15">
        <v>2320000</v>
      </c>
      <c r="D17" s="16">
        <f>IF((POWER(10,POWER(10,('Binder data'!$B$6+('Binder data'!$B$5*LOG10(A17+459.7))))))&gt;2700000000000,2700000000000,(POWER(10,POWER(10,('Binder data'!$B$6+('Binder data'!$B$5*LOG10(A17+459.7)))))))</f>
        <v>92224719954.70793</v>
      </c>
      <c r="E17" s="20">
        <f t="shared" si="0"/>
        <v>-3.894650743226899</v>
      </c>
      <c r="F17" s="20">
        <f t="shared" si="1"/>
        <v>6.365487984890899</v>
      </c>
      <c r="G17" s="31">
        <f t="shared" si="4"/>
        <v>2383669.651089929</v>
      </c>
      <c r="H17" s="20">
        <f t="shared" si="2"/>
        <v>6.377246067070784</v>
      </c>
      <c r="I17" s="16">
        <f t="shared" si="3"/>
        <v>0.00013825249654892004</v>
      </c>
      <c r="P17" s="2"/>
      <c r="Q17" s="1">
        <v>2</v>
      </c>
      <c r="R17" s="3">
        <f t="shared" si="5"/>
        <v>162700.9109435209</v>
      </c>
    </row>
    <row r="18" spans="1:18" ht="12.75">
      <c r="A18" s="14">
        <v>40</v>
      </c>
      <c r="B18" s="15">
        <v>25</v>
      </c>
      <c r="C18" s="15">
        <v>2520000</v>
      </c>
      <c r="D18" s="16">
        <f>IF((POWER(10,POWER(10,('Binder data'!$B$6+('Binder data'!$B$5*LOG10(A18+459.7))))))&gt;2700000000000,2700000000000,(POWER(10,POWER(10,('Binder data'!$B$6+('Binder data'!$B$5*LOG10(A18+459.7)))))))</f>
        <v>92224719954.70793</v>
      </c>
      <c r="E18" s="20">
        <f t="shared" si="0"/>
        <v>-4.292590751898937</v>
      </c>
      <c r="F18" s="20">
        <f t="shared" si="1"/>
        <v>6.401400540781544</v>
      </c>
      <c r="G18" s="31">
        <f t="shared" si="4"/>
        <v>2573734.1623973483</v>
      </c>
      <c r="H18" s="20">
        <f t="shared" si="2"/>
        <v>6.410563687181366</v>
      </c>
      <c r="I18" s="16">
        <f t="shared" si="3"/>
        <v>8.396325194457226E-05</v>
      </c>
      <c r="P18" s="2"/>
      <c r="Q18" s="1">
        <v>3</v>
      </c>
      <c r="R18" s="3">
        <f t="shared" si="5"/>
        <v>74318.31048408696</v>
      </c>
    </row>
    <row r="19" spans="1:18" ht="12.75">
      <c r="A19" s="14">
        <v>70</v>
      </c>
      <c r="B19" s="15">
        <v>0.1</v>
      </c>
      <c r="C19" s="15">
        <v>317000</v>
      </c>
      <c r="D19" s="16">
        <f>IF((POWER(10,POWER(10,('Binder data'!$B$6+('Binder data'!$B$5*LOG10(A19+459.7))))))&gt;2700000000000,2700000000000,(POWER(10,POWER(10,('Binder data'!$B$6+('Binder data'!$B$5*LOG10(A19+459.7)))))))</f>
        <v>811439091.4801196</v>
      </c>
      <c r="E19" s="20">
        <f t="shared" si="0"/>
        <v>1</v>
      </c>
      <c r="F19" s="20">
        <f t="shared" si="1"/>
        <v>5.501059262217751</v>
      </c>
      <c r="G19" s="31">
        <f t="shared" si="4"/>
        <v>327431.59809148737</v>
      </c>
      <c r="H19" s="20">
        <f t="shared" si="2"/>
        <v>5.515120587765604</v>
      </c>
      <c r="I19" s="16">
        <f t="shared" si="3"/>
        <v>0.00019772087616269095</v>
      </c>
      <c r="P19" s="2"/>
      <c r="Q19" s="1">
        <v>4</v>
      </c>
      <c r="R19" s="3">
        <f t="shared" si="5"/>
        <v>32257.269804948726</v>
      </c>
    </row>
    <row r="20" spans="1:18" ht="12.75">
      <c r="A20" s="14">
        <v>70</v>
      </c>
      <c r="B20" s="15">
        <v>0.5</v>
      </c>
      <c r="C20" s="15">
        <v>487000</v>
      </c>
      <c r="D20" s="16">
        <f>IF((POWER(10,POWER(10,('Binder data'!$B$6+('Binder data'!$B$5*LOG10(A20+459.7))))))&gt;2700000000000,2700000000000,(POWER(10,POWER(10,('Binder data'!$B$6+('Binder data'!$B$5*LOG10(A20+459.7)))))))</f>
        <v>811439091.4801196</v>
      </c>
      <c r="E20" s="20">
        <f t="shared" si="0"/>
        <v>0.3010299956639812</v>
      </c>
      <c r="F20" s="20">
        <f t="shared" si="1"/>
        <v>5.6875289612146345</v>
      </c>
      <c r="G20" s="31">
        <f t="shared" si="4"/>
        <v>502505.20617776667</v>
      </c>
      <c r="H20" s="20">
        <f t="shared" si="2"/>
        <v>5.701140565600115</v>
      </c>
      <c r="I20" s="16">
        <f t="shared" si="3"/>
        <v>0.0001852757739468284</v>
      </c>
      <c r="P20" s="2"/>
      <c r="Q20" s="1">
        <v>5</v>
      </c>
      <c r="R20" s="3">
        <f t="shared" si="5"/>
        <v>13891.351906455215</v>
      </c>
    </row>
    <row r="21" spans="1:18" ht="12.75">
      <c r="A21" s="14">
        <v>70</v>
      </c>
      <c r="B21" s="15">
        <v>1</v>
      </c>
      <c r="C21" s="15">
        <v>569000</v>
      </c>
      <c r="D21" s="16">
        <f>IF((POWER(10,POWER(10,('Binder data'!$B$6+('Binder data'!$B$5*LOG10(A21+459.7))))))&gt;2700000000000,2700000000000,(POWER(10,POWER(10,('Binder data'!$B$6+('Binder data'!$B$5*LOG10(A21+459.7)))))))</f>
        <v>811439091.4801196</v>
      </c>
      <c r="E21" s="20">
        <f t="shared" si="0"/>
        <v>0</v>
      </c>
      <c r="F21" s="20">
        <f t="shared" si="1"/>
        <v>5.755112266395071</v>
      </c>
      <c r="G21" s="31">
        <f t="shared" si="4"/>
        <v>594602.845847226</v>
      </c>
      <c r="H21" s="20">
        <f t="shared" si="2"/>
        <v>5.774226983464258</v>
      </c>
      <c r="I21" s="16">
        <f t="shared" si="3"/>
        <v>0.00036537240863507704</v>
      </c>
      <c r="P21" s="2"/>
      <c r="Q21" s="1">
        <v>6</v>
      </c>
      <c r="R21" s="3">
        <f t="shared" si="5"/>
        <v>6207.461457881311</v>
      </c>
    </row>
    <row r="22" spans="1:18" ht="12.75">
      <c r="A22" s="14">
        <v>70</v>
      </c>
      <c r="B22" s="15">
        <v>5</v>
      </c>
      <c r="C22" s="15">
        <v>821000</v>
      </c>
      <c r="D22" s="16">
        <f>IF((POWER(10,POWER(10,('Binder data'!$B$6+('Binder data'!$B$5*LOG10(A22+459.7))))))&gt;2700000000000,2700000000000,(POWER(10,POWER(10,('Binder data'!$B$6+('Binder data'!$B$5*LOG10(A22+459.7)))))))</f>
        <v>811439091.4801196</v>
      </c>
      <c r="E22" s="20">
        <f t="shared" si="0"/>
        <v>-0.6989700043360187</v>
      </c>
      <c r="F22" s="20">
        <f t="shared" si="1"/>
        <v>5.914343157119441</v>
      </c>
      <c r="G22" s="31">
        <f t="shared" si="4"/>
        <v>846539.4690889623</v>
      </c>
      <c r="H22" s="20">
        <f t="shared" si="2"/>
        <v>5.927647211479732</v>
      </c>
      <c r="I22" s="16">
        <f t="shared" si="3"/>
        <v>0.00017699786242158169</v>
      </c>
      <c r="P22" s="2"/>
      <c r="Q22" s="1">
        <v>8</v>
      </c>
      <c r="R22" s="3">
        <f t="shared" si="5"/>
        <v>1586.3371416975506</v>
      </c>
    </row>
    <row r="23" spans="1:18" ht="12.75">
      <c r="A23" s="14">
        <v>70</v>
      </c>
      <c r="B23" s="15">
        <v>10</v>
      </c>
      <c r="C23" s="15">
        <v>933000</v>
      </c>
      <c r="D23" s="16">
        <f>IF((POWER(10,POWER(10,('Binder data'!$B$6+('Binder data'!$B$5*LOG10(A23+459.7))))))&gt;2700000000000,2700000000000,(POWER(10,POWER(10,('Binder data'!$B$6+('Binder data'!$B$5*LOG10(A23+459.7)))))))</f>
        <v>811439091.4801196</v>
      </c>
      <c r="E23" s="20">
        <f t="shared" si="0"/>
        <v>-1</v>
      </c>
      <c r="F23" s="20">
        <f t="shared" si="1"/>
        <v>5.9698816437465</v>
      </c>
      <c r="G23" s="31">
        <f t="shared" si="4"/>
        <v>970222.9888563026</v>
      </c>
      <c r="H23" s="20">
        <f t="shared" si="2"/>
        <v>5.986871560761241</v>
      </c>
      <c r="I23" s="16">
        <f t="shared" si="3"/>
        <v>0.00028865728016779163</v>
      </c>
      <c r="P23" s="2"/>
      <c r="Q23" s="1">
        <v>9</v>
      </c>
      <c r="R23" s="3">
        <f t="shared" si="5"/>
        <v>937.3247942963029</v>
      </c>
    </row>
    <row r="24" spans="1:18" ht="12.75">
      <c r="A24" s="14">
        <v>70</v>
      </c>
      <c r="B24" s="15">
        <v>25</v>
      </c>
      <c r="C24" s="15">
        <v>1140000</v>
      </c>
      <c r="D24" s="16">
        <f>IF((POWER(10,POWER(10,('Binder data'!$B$6+('Binder data'!$B$5*LOG10(A24+459.7))))))&gt;2700000000000,2700000000000,(POWER(10,POWER(10,('Binder data'!$B$6+('Binder data'!$B$5*LOG10(A24+459.7)))))))</f>
        <v>811439091.4801196</v>
      </c>
      <c r="E24" s="20">
        <f t="shared" si="0"/>
        <v>-1.3979400086720375</v>
      </c>
      <c r="F24" s="20">
        <f t="shared" si="1"/>
        <v>6.056904851336473</v>
      </c>
      <c r="G24" s="31">
        <f t="shared" si="4"/>
        <v>1145754.139358113</v>
      </c>
      <c r="H24" s="20">
        <f t="shared" si="2"/>
        <v>6.059091434930256</v>
      </c>
      <c r="I24" s="16">
        <f t="shared" si="3"/>
        <v>4.781147812601408E-06</v>
      </c>
      <c r="P24" s="2"/>
      <c r="Q24" s="1">
        <v>10</v>
      </c>
      <c r="R24" s="3">
        <f t="shared" si="5"/>
        <v>614.2985380094691</v>
      </c>
    </row>
    <row r="25" spans="1:18" ht="12.75">
      <c r="A25" s="14">
        <v>100</v>
      </c>
      <c r="B25" s="15">
        <v>0.1</v>
      </c>
      <c r="C25" s="15">
        <v>63900</v>
      </c>
      <c r="D25" s="16">
        <f>IF((POWER(10,POWER(10,('Binder data'!$B$6+('Binder data'!$B$5*LOG10(A25+459.7))))))&gt;2700000000000,2700000000000,(POWER(10,POWER(10,('Binder data'!$B$6+('Binder data'!$B$5*LOG10(A25+459.7)))))))</f>
        <v>21004783.018707145</v>
      </c>
      <c r="E25" s="20">
        <f t="shared" si="0"/>
        <v>3.234700158582666</v>
      </c>
      <c r="F25" s="20">
        <f t="shared" si="1"/>
        <v>4.8055008581584</v>
      </c>
      <c r="G25" s="31">
        <f t="shared" si="4"/>
        <v>61287.40420336493</v>
      </c>
      <c r="H25" s="20">
        <f t="shared" si="2"/>
        <v>4.787371227421152</v>
      </c>
      <c r="I25" s="16">
        <f t="shared" si="3"/>
        <v>0.00032868351066894503</v>
      </c>
      <c r="P25" s="2"/>
      <c r="R25" s="3"/>
    </row>
    <row r="26" spans="1:19" ht="12.75">
      <c r="A26" s="14">
        <v>100</v>
      </c>
      <c r="B26" s="15">
        <v>0.5</v>
      </c>
      <c r="C26" s="15">
        <v>110000</v>
      </c>
      <c r="D26" s="16">
        <f>IF((POWER(10,POWER(10,('Binder data'!$B$6+('Binder data'!$B$5*LOG10(A26+459.7))))))&gt;2700000000000,2700000000000,(POWER(10,POWER(10,('Binder data'!$B$6+('Binder data'!$B$5*LOG10(A26+459.7)))))))</f>
        <v>21004783.018707145</v>
      </c>
      <c r="E26" s="20">
        <f t="shared" si="0"/>
        <v>2.535730154246647</v>
      </c>
      <c r="F26" s="20">
        <f t="shared" si="1"/>
        <v>5.041392685158225</v>
      </c>
      <c r="G26" s="31">
        <f t="shared" si="4"/>
        <v>107857.40763812792</v>
      </c>
      <c r="H26" s="20">
        <f t="shared" si="2"/>
        <v>5.032849977773152</v>
      </c>
      <c r="I26" s="16">
        <f t="shared" si="3"/>
        <v>7.297784946698856E-05</v>
      </c>
      <c r="P26" s="2"/>
      <c r="R26" s="3"/>
      <c r="S26" s="1"/>
    </row>
    <row r="27" spans="1:19" ht="12.75">
      <c r="A27" s="14">
        <v>100</v>
      </c>
      <c r="B27" s="15">
        <v>1</v>
      </c>
      <c r="C27" s="15">
        <v>143000</v>
      </c>
      <c r="D27" s="16">
        <f>IF((POWER(10,POWER(10,('Binder data'!$B$6+('Binder data'!$B$5*LOG10(A27+459.7))))))&gt;2700000000000,2700000000000,(POWER(10,POWER(10,('Binder data'!$B$6+('Binder data'!$B$5*LOG10(A27+459.7)))))))</f>
        <v>21004783.018707145</v>
      </c>
      <c r="E27" s="20">
        <f t="shared" si="0"/>
        <v>2.234700158582666</v>
      </c>
      <c r="F27" s="20">
        <f t="shared" si="1"/>
        <v>5.155336037465061</v>
      </c>
      <c r="G27" s="31">
        <f t="shared" si="4"/>
        <v>136260.80916450414</v>
      </c>
      <c r="H27" s="20">
        <f t="shared" si="2"/>
        <v>5.134370963604081</v>
      </c>
      <c r="I27" s="16">
        <f t="shared" si="3"/>
        <v>0.00043953432199637986</v>
      </c>
      <c r="L27" s="6"/>
      <c r="M27" s="6"/>
      <c r="N27" s="6"/>
      <c r="P27" s="2"/>
      <c r="R27" s="3"/>
      <c r="S27" s="1"/>
    </row>
    <row r="28" spans="1:19" ht="12.75">
      <c r="A28" s="14">
        <v>100</v>
      </c>
      <c r="B28" s="15">
        <v>5</v>
      </c>
      <c r="C28" s="15">
        <v>252000</v>
      </c>
      <c r="D28" s="16">
        <f>IF((POWER(10,POWER(10,('Binder data'!$B$6+('Binder data'!$B$5*LOG10(A28+459.7))))))&gt;2700000000000,2700000000000,(POWER(10,POWER(10,('Binder data'!$B$6+('Binder data'!$B$5*LOG10(A28+459.7)))))))</f>
        <v>21004783.018707145</v>
      </c>
      <c r="E28" s="20">
        <f t="shared" si="0"/>
        <v>1.535730154246647</v>
      </c>
      <c r="F28" s="20">
        <f t="shared" si="1"/>
        <v>5.401400540781544</v>
      </c>
      <c r="G28" s="31">
        <f t="shared" si="4"/>
        <v>227821.5819038311</v>
      </c>
      <c r="H28" s="20">
        <f t="shared" si="2"/>
        <v>5.357594863104687</v>
      </c>
      <c r="I28" s="16">
        <f t="shared" si="3"/>
        <v>0.0019189373967286635</v>
      </c>
      <c r="L28" s="6"/>
      <c r="M28" s="6"/>
      <c r="N28" s="6"/>
      <c r="P28" s="2"/>
      <c r="R28" s="3"/>
      <c r="S28" s="1"/>
    </row>
    <row r="29" spans="1:19" ht="12.75">
      <c r="A29" s="14">
        <v>100</v>
      </c>
      <c r="B29" s="15">
        <v>10</v>
      </c>
      <c r="C29" s="15">
        <v>329000</v>
      </c>
      <c r="D29" s="16">
        <f>IF((POWER(10,POWER(10,('Binder data'!$B$6+('Binder data'!$B$5*LOG10(A29+459.7))))))&gt;2700000000000,2700000000000,(POWER(10,POWER(10,('Binder data'!$B$6+('Binder data'!$B$5*LOG10(A29+459.7)))))))</f>
        <v>21004783.018707145</v>
      </c>
      <c r="E29" s="20">
        <f t="shared" si="0"/>
        <v>1.2347001585826658</v>
      </c>
      <c r="F29" s="20">
        <f t="shared" si="1"/>
        <v>5.517195897949974</v>
      </c>
      <c r="G29" s="31">
        <f t="shared" si="4"/>
        <v>280319.43928933446</v>
      </c>
      <c r="H29" s="20">
        <f t="shared" si="2"/>
        <v>5.447653215788673</v>
      </c>
      <c r="I29" s="16">
        <f t="shared" si="3"/>
        <v>0.004836184642187731</v>
      </c>
      <c r="L29" s="6"/>
      <c r="M29" s="6"/>
      <c r="N29" s="6"/>
      <c r="P29" s="2"/>
      <c r="R29" s="3"/>
      <c r="S29" s="1"/>
    </row>
    <row r="30" spans="1:19" ht="12.75">
      <c r="A30" s="14">
        <v>100</v>
      </c>
      <c r="B30" s="15">
        <v>25</v>
      </c>
      <c r="C30" s="15">
        <v>455000</v>
      </c>
      <c r="D30" s="16">
        <f>IF((POWER(10,POWER(10,('Binder data'!$B$6+('Binder data'!$B$5*LOG10(A30+459.7))))))&gt;2700000000000,2700000000000,(POWER(10,POWER(10,('Binder data'!$B$6+('Binder data'!$B$5*LOG10(A30+459.7)))))))</f>
        <v>21004783.018707145</v>
      </c>
      <c r="E30" s="20">
        <f t="shared" si="0"/>
        <v>0.8367601499106283</v>
      </c>
      <c r="F30" s="20">
        <f t="shared" si="1"/>
        <v>5.658011396657113</v>
      </c>
      <c r="G30" s="31">
        <f t="shared" si="4"/>
        <v>363566.1706930073</v>
      </c>
      <c r="H30" s="20">
        <f t="shared" si="2"/>
        <v>5.560583465955701</v>
      </c>
      <c r="I30" s="16">
        <f t="shared" si="3"/>
        <v>0.00949220168075907</v>
      </c>
      <c r="L30" s="6"/>
      <c r="M30" s="6"/>
      <c r="N30" s="6"/>
      <c r="P30" s="2"/>
      <c r="R30" s="3"/>
      <c r="S30" s="1"/>
    </row>
    <row r="31" spans="1:19" ht="12.75">
      <c r="A31" s="14">
        <v>130</v>
      </c>
      <c r="B31" s="15">
        <v>0.1</v>
      </c>
      <c r="C31" s="15">
        <v>16300</v>
      </c>
      <c r="D31" s="17">
        <f>IF((POWER(10,POWER(10,('Binder data'!$B$6+('Binder data'!$B$5*LOG10(A31+459.7))))))&gt;2700000000000,2700000000000,(POWER(10,POWER(10,('Binder data'!$B$6+('Binder data'!$B$5*LOG10(A31+459.7)))))))</f>
        <v>1202319.5496366615</v>
      </c>
      <c r="E31" s="20">
        <f t="shared" si="0"/>
        <v>4.984084612014703</v>
      </c>
      <c r="F31" s="20">
        <f t="shared" si="1"/>
        <v>4.212187604403958</v>
      </c>
      <c r="G31" s="31">
        <f t="shared" si="4"/>
        <v>14076.388282973454</v>
      </c>
      <c r="H31" s="20">
        <f t="shared" si="2"/>
        <v>4.148491237903636</v>
      </c>
      <c r="I31" s="16">
        <f t="shared" si="3"/>
        <v>0.004057227105343323</v>
      </c>
      <c r="L31" s="6"/>
      <c r="M31" s="6"/>
      <c r="N31" s="6"/>
      <c r="P31" s="2"/>
      <c r="R31" s="3"/>
      <c r="S31" s="1"/>
    </row>
    <row r="32" spans="1:19" ht="12.75">
      <c r="A32" s="14">
        <v>130</v>
      </c>
      <c r="B32" s="15">
        <v>0.5</v>
      </c>
      <c r="C32" s="15">
        <v>23500</v>
      </c>
      <c r="D32" s="17">
        <f>IF((POWER(10,POWER(10,('Binder data'!$B$6+('Binder data'!$B$5*LOG10(A32+459.7))))))&gt;2700000000000,2700000000000,(POWER(10,POWER(10,('Binder data'!$B$6+('Binder data'!$B$5*LOG10(A32+459.7)))))))</f>
        <v>1202319.5496366615</v>
      </c>
      <c r="E32" s="20">
        <f t="shared" si="0"/>
        <v>4.285114607678684</v>
      </c>
      <c r="F32" s="20">
        <f t="shared" si="1"/>
        <v>4.371067862271736</v>
      </c>
      <c r="G32" s="31">
        <f t="shared" si="4"/>
        <v>25338.707506549694</v>
      </c>
      <c r="H32" s="20">
        <f t="shared" si="2"/>
        <v>4.403784458333954</v>
      </c>
      <c r="I32" s="16">
        <f t="shared" si="3"/>
        <v>0.001070375657898338</v>
      </c>
      <c r="J32" s="7"/>
      <c r="L32" s="10"/>
      <c r="M32" s="10"/>
      <c r="N32" s="6"/>
      <c r="P32" s="2"/>
      <c r="R32" s="3"/>
      <c r="S32" s="1"/>
    </row>
    <row r="33" spans="1:19" ht="12.75">
      <c r="A33" s="14">
        <v>130</v>
      </c>
      <c r="B33" s="15">
        <v>1</v>
      </c>
      <c r="C33" s="15">
        <v>30300</v>
      </c>
      <c r="D33" s="17">
        <f>IF((POWER(10,POWER(10,('Binder data'!$B$6+('Binder data'!$B$5*LOG10(A33+459.7))))))&gt;2700000000000,2700000000000,(POWER(10,POWER(10,('Binder data'!$B$6+('Binder data'!$B$5*LOG10(A33+459.7)))))))</f>
        <v>1202319.5496366615</v>
      </c>
      <c r="E33" s="20">
        <f t="shared" si="0"/>
        <v>3.9840846120147035</v>
      </c>
      <c r="F33" s="20">
        <f t="shared" si="1"/>
        <v>4.481442628502305</v>
      </c>
      <c r="G33" s="31">
        <f t="shared" si="4"/>
        <v>32694.60320892536</v>
      </c>
      <c r="H33" s="20">
        <f t="shared" si="2"/>
        <v>4.514476071008467</v>
      </c>
      <c r="I33" s="16">
        <f t="shared" si="3"/>
        <v>0.001091208323807912</v>
      </c>
      <c r="J33" s="7"/>
      <c r="L33" s="10"/>
      <c r="M33" s="10"/>
      <c r="N33" s="6"/>
      <c r="P33" s="2"/>
      <c r="R33" s="3"/>
      <c r="S33" s="1"/>
    </row>
    <row r="34" spans="1:19" ht="12.75">
      <c r="A34" s="14">
        <v>130</v>
      </c>
      <c r="B34" s="15">
        <v>5</v>
      </c>
      <c r="C34" s="15">
        <v>51700</v>
      </c>
      <c r="D34" s="17">
        <f>IF((POWER(10,POWER(10,('Binder data'!$B$6+('Binder data'!$B$5*LOG10(A34+459.7))))))&gt;2700000000000,2700000000000,(POWER(10,POWER(10,('Binder data'!$B$6+('Binder data'!$B$5*LOG10(A34+459.7)))))))</f>
        <v>1202319.5496366615</v>
      </c>
      <c r="E34" s="20">
        <f t="shared" si="0"/>
        <v>3.285114607678685</v>
      </c>
      <c r="F34" s="20">
        <f t="shared" si="1"/>
        <v>4.713490543093942</v>
      </c>
      <c r="G34" s="31">
        <f t="shared" si="4"/>
        <v>58782.34069860385</v>
      </c>
      <c r="H34" s="20">
        <f t="shared" si="2"/>
        <v>4.769246875582251</v>
      </c>
      <c r="I34" s="16">
        <f t="shared" si="3"/>
        <v>0.003108768612546815</v>
      </c>
      <c r="J34" s="7"/>
      <c r="L34" s="10"/>
      <c r="M34" s="10"/>
      <c r="N34" s="6"/>
      <c r="P34" s="2"/>
      <c r="R34" s="3"/>
      <c r="S34" s="1"/>
    </row>
    <row r="35" spans="1:19" ht="12.75">
      <c r="A35" s="14">
        <v>130</v>
      </c>
      <c r="B35" s="15">
        <v>10</v>
      </c>
      <c r="C35" s="15">
        <v>67400</v>
      </c>
      <c r="D35" s="17">
        <f>IF((POWER(10,POWER(10,('Binder data'!$B$6+('Binder data'!$B$5*LOG10(A35+459.7))))))&gt;2700000000000,2700000000000,(POWER(10,POWER(10,('Binder data'!$B$6+('Binder data'!$B$5*LOG10(A35+459.7)))))))</f>
        <v>1202319.5496366615</v>
      </c>
      <c r="E35" s="20">
        <f t="shared" si="0"/>
        <v>2.9840846120147035</v>
      </c>
      <c r="F35" s="20">
        <f t="shared" si="1"/>
        <v>4.82865989653532</v>
      </c>
      <c r="G35" s="31">
        <f t="shared" si="4"/>
        <v>75288.89009293697</v>
      </c>
      <c r="H35" s="20">
        <f t="shared" si="2"/>
        <v>4.876730894828725</v>
      </c>
      <c r="I35" s="16">
        <f t="shared" si="3"/>
        <v>0.0023108208769245784</v>
      </c>
      <c r="J35" s="7"/>
      <c r="L35" s="10"/>
      <c r="M35" s="10"/>
      <c r="N35" s="6"/>
      <c r="P35" s="2"/>
      <c r="R35" s="3"/>
      <c r="S35" s="1"/>
    </row>
    <row r="36" spans="1:16" ht="12.75">
      <c r="A36" s="14">
        <v>130</v>
      </c>
      <c r="B36" s="15">
        <v>25</v>
      </c>
      <c r="C36" s="15">
        <v>96800</v>
      </c>
      <c r="D36" s="17">
        <f>IF((POWER(10,POWER(10,('Binder data'!$B$6+('Binder data'!$B$5*LOG10(A36+459.7))))))&gt;2700000000000,2700000000000,(POWER(10,POWER(10,('Binder data'!$B$6+('Binder data'!$B$5*LOG10(A36+459.7)))))))</f>
        <v>1202319.5496366615</v>
      </c>
      <c r="E36" s="20">
        <f t="shared" si="0"/>
        <v>2.586144603342666</v>
      </c>
      <c r="F36" s="20">
        <f t="shared" si="1"/>
        <v>4.985875357308394</v>
      </c>
      <c r="G36" s="31">
        <f t="shared" si="4"/>
        <v>103650.41583026561</v>
      </c>
      <c r="H36" s="20">
        <f t="shared" si="2"/>
        <v>5.015571048759137</v>
      </c>
      <c r="I36" s="16">
        <f t="shared" si="3"/>
        <v>0.0008818340907377388</v>
      </c>
      <c r="J36" s="8"/>
      <c r="L36" s="10"/>
      <c r="M36" s="10"/>
      <c r="P36" s="2"/>
    </row>
    <row r="37" spans="1:16" ht="12.75">
      <c r="A37" s="7"/>
      <c r="B37" s="7"/>
      <c r="C37" s="7"/>
      <c r="D37" s="7"/>
      <c r="J37" s="7"/>
      <c r="L37" s="10"/>
      <c r="M37" s="10"/>
      <c r="P37" s="3"/>
    </row>
    <row r="38" spans="12:13" ht="12.75">
      <c r="L38" s="10"/>
      <c r="M38" s="10"/>
    </row>
    <row r="39" spans="12:13" ht="12.75">
      <c r="L39" s="10"/>
      <c r="M39" s="10"/>
    </row>
    <row r="40" spans="12:13" ht="12.75">
      <c r="L40" s="10"/>
      <c r="M40" s="10"/>
    </row>
    <row r="41" spans="12:13" ht="12.75">
      <c r="L41" s="10"/>
      <c r="M41" s="10"/>
    </row>
    <row r="54" spans="6:17" ht="12.75">
      <c r="F54" s="21"/>
      <c r="G54" s="21"/>
      <c r="H54" s="21"/>
      <c r="I54" s="9"/>
      <c r="P54"/>
      <c r="Q54"/>
    </row>
    <row r="55" spans="6:17" ht="12.75">
      <c r="F55" s="21"/>
      <c r="G55" s="21"/>
      <c r="H55" s="21"/>
      <c r="I55" s="9"/>
      <c r="P55"/>
      <c r="Q55"/>
    </row>
    <row r="56" spans="6:17" ht="12.75">
      <c r="F56" s="21"/>
      <c r="G56" s="21"/>
      <c r="H56" s="21"/>
      <c r="I56" s="9"/>
      <c r="P56"/>
      <c r="Q56"/>
    </row>
    <row r="57" spans="6:17" ht="12.75">
      <c r="F57" s="21"/>
      <c r="G57" s="21"/>
      <c r="H57" s="21"/>
      <c r="I57" s="9"/>
      <c r="P57"/>
      <c r="Q57"/>
    </row>
    <row r="58" spans="6:17" ht="12.75">
      <c r="F58" s="21"/>
      <c r="G58" s="21"/>
      <c r="H58" s="21"/>
      <c r="I58" s="9"/>
      <c r="P58"/>
      <c r="Q58"/>
    </row>
    <row r="59" spans="6:17" ht="12.75">
      <c r="F59" s="21"/>
      <c r="G59" s="21"/>
      <c r="H59" s="21"/>
      <c r="I59" s="9"/>
      <c r="P59"/>
      <c r="Q59"/>
    </row>
    <row r="60" spans="6:17" ht="12.75">
      <c r="F60" s="21"/>
      <c r="G60" s="21"/>
      <c r="H60" s="21"/>
      <c r="I60" s="9"/>
      <c r="P60"/>
      <c r="Q60"/>
    </row>
    <row r="61" spans="6:17" ht="12.75">
      <c r="F61" s="21"/>
      <c r="G61" s="21"/>
      <c r="H61" s="21"/>
      <c r="I61" s="9"/>
      <c r="P61"/>
      <c r="Q61"/>
    </row>
    <row r="62" spans="6:17" ht="12.75">
      <c r="F62" s="21"/>
      <c r="G62" s="21"/>
      <c r="H62" s="21"/>
      <c r="I62" s="9"/>
      <c r="P62"/>
      <c r="Q62"/>
    </row>
    <row r="63" spans="6:17" ht="12.75">
      <c r="F63" s="21"/>
      <c r="G63" s="21"/>
      <c r="H63" s="21"/>
      <c r="I63" s="9"/>
      <c r="P63"/>
      <c r="Q63"/>
    </row>
    <row r="64" spans="6:17" ht="12.75">
      <c r="F64" s="21"/>
      <c r="G64" s="21"/>
      <c r="H64" s="21"/>
      <c r="I64" s="9"/>
      <c r="P64"/>
      <c r="Q64"/>
    </row>
    <row r="65" spans="6:17" ht="12.75">
      <c r="F65" s="21"/>
      <c r="G65" s="21"/>
      <c r="H65" s="21"/>
      <c r="I65" s="9"/>
      <c r="P65"/>
      <c r="Q65"/>
    </row>
    <row r="66" spans="6:17" ht="12.75">
      <c r="F66" s="21"/>
      <c r="G66" s="21"/>
      <c r="H66" s="21"/>
      <c r="I66" s="9"/>
      <c r="P66"/>
      <c r="Q66"/>
    </row>
  </sheetData>
  <mergeCells count="4">
    <mergeCell ref="A4:B4"/>
    <mergeCell ref="J5:N5"/>
    <mergeCell ref="A2:H2"/>
    <mergeCell ref="B1:F1"/>
  </mergeCells>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9.140625" defaultRowHeight="12.75"/>
  <cols>
    <col min="1" max="1" width="15.7109375" style="0" bestFit="1" customWidth="1"/>
    <col min="2" max="2" width="8.00390625" style="0" bestFit="1" customWidth="1"/>
    <col min="3" max="3" width="6.00390625" style="0" bestFit="1" customWidth="1"/>
    <col min="4" max="4" width="22.8515625" style="0" bestFit="1" customWidth="1"/>
    <col min="5" max="5" width="16.57421875" style="0" bestFit="1" customWidth="1"/>
    <col min="6" max="6" width="26.421875" style="0" bestFit="1" customWidth="1"/>
    <col min="7" max="7" width="24.28125" style="0" bestFit="1" customWidth="1"/>
  </cols>
  <sheetData>
    <row r="3" spans="1:8" ht="51" customHeight="1">
      <c r="A3" s="35" t="s">
        <v>30</v>
      </c>
      <c r="B3" s="35"/>
      <c r="C3" s="35"/>
      <c r="D3" s="35"/>
      <c r="E3" s="35"/>
      <c r="F3" s="35"/>
      <c r="G3" s="35"/>
      <c r="H3" s="35"/>
    </row>
    <row r="5" spans="1:2" ht="12.75">
      <c r="A5" s="25" t="s">
        <v>11</v>
      </c>
      <c r="B5" s="26">
        <f>SLOPE(G9:G104,F9:F104)</f>
        <v>-3.560779423045158</v>
      </c>
    </row>
    <row r="6" spans="1:2" ht="12.75">
      <c r="A6" s="25" t="s">
        <v>12</v>
      </c>
      <c r="B6" s="26">
        <f>INTERCEPT(G9:G104,F9:F104)</f>
        <v>10.649511309993372</v>
      </c>
    </row>
    <row r="8" spans="1:7" ht="12.75">
      <c r="A8" s="4" t="s">
        <v>9</v>
      </c>
      <c r="B8" s="4" t="s">
        <v>10</v>
      </c>
      <c r="C8" s="24" t="s">
        <v>5</v>
      </c>
      <c r="D8" s="4" t="s">
        <v>26</v>
      </c>
      <c r="E8" s="4" t="s">
        <v>13</v>
      </c>
      <c r="F8" s="4" t="s">
        <v>25</v>
      </c>
      <c r="G8" s="4" t="s">
        <v>27</v>
      </c>
    </row>
    <row r="9" spans="1:7" ht="12.75">
      <c r="A9" s="14">
        <v>59</v>
      </c>
      <c r="B9" s="14">
        <v>8700000</v>
      </c>
      <c r="C9" s="14">
        <v>49.83</v>
      </c>
      <c r="D9" s="32">
        <f>(A9+459.7)</f>
        <v>518.7</v>
      </c>
      <c r="E9" s="23">
        <f>(1000*(F9/10)*POWER((1/SIN(PI()*G9/180)),4.8628))</f>
        <v>107171828013.03409</v>
      </c>
      <c r="F9" s="20">
        <f aca="true" t="shared" si="0" ref="F9:F18">LOG10(A9+459.7)</f>
        <v>2.714916247993585</v>
      </c>
      <c r="G9" s="23">
        <f aca="true" t="shared" si="1" ref="G9:G18">LOG10(LOG10(1000*(B9/10)*POWER((1/SIN(PI()*C9/180)),4.8628)))</f>
        <v>0.9780728574705659</v>
      </c>
    </row>
    <row r="10" spans="1:7" ht="12.75">
      <c r="A10" s="14">
        <v>77</v>
      </c>
      <c r="B10" s="14">
        <v>1700000</v>
      </c>
      <c r="C10" s="14">
        <v>59.98</v>
      </c>
      <c r="D10" s="32">
        <f aca="true" t="shared" si="2" ref="D10:D18">(A10+459.7)</f>
        <v>536.7</v>
      </c>
      <c r="E10" s="23">
        <f aca="true" t="shared" si="3" ref="E10:E18">(1000*(F10/10)*POWER((1/SIN(PI()*G10/180)),4.8628))</f>
        <v>136830156186.84018</v>
      </c>
      <c r="F10" s="20">
        <f t="shared" si="0"/>
        <v>2.7297315952870354</v>
      </c>
      <c r="G10" s="23">
        <f t="shared" si="1"/>
        <v>0.931185754004314</v>
      </c>
    </row>
    <row r="11" spans="1:7" ht="12.75">
      <c r="A11" s="14">
        <v>95</v>
      </c>
      <c r="B11" s="14">
        <v>300000</v>
      </c>
      <c r="C11" s="14">
        <v>67.64</v>
      </c>
      <c r="D11" s="32">
        <f t="shared" si="2"/>
        <v>554.7</v>
      </c>
      <c r="E11" s="23">
        <f t="shared" si="3"/>
        <v>177883686916.2135</v>
      </c>
      <c r="F11" s="20">
        <f t="shared" si="0"/>
        <v>2.7440581658788354</v>
      </c>
      <c r="G11" s="23">
        <f t="shared" si="1"/>
        <v>0.883218220740111</v>
      </c>
    </row>
    <row r="12" spans="1:7" ht="12.75">
      <c r="A12" s="14">
        <v>113</v>
      </c>
      <c r="B12" s="14">
        <v>48000</v>
      </c>
      <c r="C12" s="14">
        <v>74.06</v>
      </c>
      <c r="D12" s="32">
        <f t="shared" si="2"/>
        <v>572.7</v>
      </c>
      <c r="E12" s="23">
        <f t="shared" si="3"/>
        <v>241566655517.3661</v>
      </c>
      <c r="F12" s="20">
        <f t="shared" si="0"/>
        <v>2.7579271831133294</v>
      </c>
      <c r="G12" s="23">
        <f t="shared" si="1"/>
        <v>0.8302065538564616</v>
      </c>
    </row>
    <row r="13" spans="1:7" ht="12.75">
      <c r="A13" s="14">
        <v>140</v>
      </c>
      <c r="B13" s="14">
        <v>4900</v>
      </c>
      <c r="C13" s="14">
        <v>81.75</v>
      </c>
      <c r="D13" s="32">
        <f t="shared" si="2"/>
        <v>599.7</v>
      </c>
      <c r="E13" s="23">
        <f t="shared" si="3"/>
        <v>381654672393.32465</v>
      </c>
      <c r="F13" s="20">
        <f t="shared" si="0"/>
        <v>2.7779340488377793</v>
      </c>
      <c r="G13" s="23">
        <f t="shared" si="1"/>
        <v>0.7568007480478606</v>
      </c>
    </row>
    <row r="14" spans="1:7" ht="12.75">
      <c r="A14" s="14">
        <v>158</v>
      </c>
      <c r="B14" s="14">
        <v>1400</v>
      </c>
      <c r="C14" s="14">
        <v>85.34</v>
      </c>
      <c r="D14" s="32">
        <f t="shared" si="2"/>
        <v>617.7</v>
      </c>
      <c r="E14" s="23">
        <f t="shared" si="3"/>
        <v>515620349117.07495</v>
      </c>
      <c r="F14" s="20">
        <f t="shared" si="0"/>
        <v>2.7907776013376937</v>
      </c>
      <c r="G14" s="23">
        <f t="shared" si="1"/>
        <v>0.7120703203563722</v>
      </c>
    </row>
    <row r="15" spans="1:7" ht="12.75">
      <c r="A15" s="14">
        <v>176</v>
      </c>
      <c r="B15" s="14">
        <v>430</v>
      </c>
      <c r="C15" s="14">
        <v>87.62</v>
      </c>
      <c r="D15" s="32">
        <f t="shared" si="2"/>
        <v>635.7</v>
      </c>
      <c r="E15" s="23">
        <f t="shared" si="3"/>
        <v>716595104370.7552</v>
      </c>
      <c r="F15" s="20">
        <f t="shared" si="0"/>
        <v>2.803252211430457</v>
      </c>
      <c r="G15" s="23">
        <f t="shared" si="1"/>
        <v>0.6660770025093409</v>
      </c>
    </row>
    <row r="16" spans="1:7" ht="12.75">
      <c r="A16" s="14">
        <v>203</v>
      </c>
      <c r="B16" s="14">
        <v>98</v>
      </c>
      <c r="C16" s="14">
        <v>89.44</v>
      </c>
      <c r="D16" s="32">
        <f t="shared" si="2"/>
        <v>662.7</v>
      </c>
      <c r="E16" s="23">
        <f t="shared" si="3"/>
        <v>1187863167652.2405</v>
      </c>
      <c r="F16" s="20">
        <f t="shared" si="0"/>
        <v>2.821316970591097</v>
      </c>
      <c r="G16" s="23">
        <f t="shared" si="1"/>
        <v>0.6011173044688884</v>
      </c>
    </row>
    <row r="17" spans="1:7" ht="12.75">
      <c r="A17" s="14">
        <v>221</v>
      </c>
      <c r="B17" s="14">
        <v>44</v>
      </c>
      <c r="C17" s="14">
        <v>89.48</v>
      </c>
      <c r="D17" s="32">
        <f t="shared" si="2"/>
        <v>680.7</v>
      </c>
      <c r="E17" s="23">
        <f t="shared" si="3"/>
        <v>1661291841953.3748</v>
      </c>
      <c r="F17" s="20">
        <f t="shared" si="0"/>
        <v>2.8329557506045986</v>
      </c>
      <c r="G17" s="23">
        <f t="shared" si="1"/>
        <v>0.5615235005019462</v>
      </c>
    </row>
    <row r="18" spans="1:7" ht="12.75">
      <c r="A18" s="14">
        <v>239</v>
      </c>
      <c r="B18" s="14">
        <v>22</v>
      </c>
      <c r="C18" s="14">
        <v>89.6</v>
      </c>
      <c r="D18" s="32">
        <f t="shared" si="2"/>
        <v>698.7</v>
      </c>
      <c r="E18" s="23">
        <f t="shared" si="3"/>
        <v>2333263124521.536</v>
      </c>
      <c r="F18" s="20">
        <f t="shared" si="0"/>
        <v>2.844290743254343</v>
      </c>
      <c r="G18" s="23">
        <f t="shared" si="1"/>
        <v>0.5240680567686327</v>
      </c>
    </row>
  </sheetData>
  <mergeCells count="1">
    <mergeCell ref="A3:H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CEE</dc:creator>
  <cp:keywords/>
  <dc:description/>
  <cp:lastModifiedBy>user</cp:lastModifiedBy>
  <cp:lastPrinted>2000-01-27T00:05:40Z</cp:lastPrinted>
  <dcterms:created xsi:type="dcterms:W3CDTF">2000-01-24T18:08:02Z</dcterms:created>
  <dcterms:modified xsi:type="dcterms:W3CDTF">2006-09-21T14:43:04Z</dcterms:modified>
  <cp:category/>
  <cp:version/>
  <cp:contentType/>
  <cp:contentStatus/>
</cp:coreProperties>
</file>